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jorge benitez/Documents/G E R E N C I A/2023/Cédulas/"/>
    </mc:Choice>
  </mc:AlternateContent>
  <xr:revisionPtr revIDLastSave="0" documentId="13_ncr:1_{98D5752D-1B3D-1742-9006-7D53EB0AEB3D}" xr6:coauthVersionLast="47" xr6:coauthVersionMax="47" xr10:uidLastSave="{00000000-0000-0000-0000-000000000000}"/>
  <bookViews>
    <workbookView xWindow="980" yWindow="500" windowWidth="23260" windowHeight="12580" tabRatio="760" firstSheet="2" activeTab="7" xr2:uid="{00000000-000D-0000-FFFF-FFFF00000000}"/>
  </bookViews>
  <sheets>
    <sheet name="GraficarPuntos" sheetId="1" state="hidden" r:id="rId1"/>
    <sheet name="Introducción" sheetId="59" r:id="rId2"/>
    <sheet name="Cédula ISR Semana 5" sheetId="65" r:id="rId3"/>
    <sheet name="Cédula ISR Semana 4" sheetId="66" r:id="rId4"/>
    <sheet name="Cédula ISR Quincena" sheetId="67" r:id="rId5"/>
    <sheet name="Cálculo semanal detallado anual" sheetId="17" r:id="rId6"/>
    <sheet name="Anual" sheetId="14" r:id="rId7"/>
    <sheet name="TARIFAS" sheetId="5" r:id="rId8"/>
    <sheet name="Parametros" sheetId="8" state="hidden" r:id="rId9"/>
  </sheets>
  <definedNames>
    <definedName name="_xlnm._FilterDatabase" localSheetId="5" hidden="1">'Cálculo semanal detallado anual'!$A$7:$AD$60</definedName>
    <definedName name="Anual">TARIFAS!$B$42:$D$52</definedName>
    <definedName name="DiasCalculo" localSheetId="4">'Cédula ISR Quincena'!$C$5:$E$6</definedName>
    <definedName name="DiasCalculo" localSheetId="3">'Cédula ISR Semana 4'!$C$5:$G$6</definedName>
    <definedName name="DiasCalculo" localSheetId="2">'Cédula ISR Semana 5'!$C$5:$H$6</definedName>
    <definedName name="DiasPagados">'Cálculo semanal detallado anual'!$E$8:$E$60</definedName>
    <definedName name="EleccionT">TARIFAS!$G$6:$G$11</definedName>
    <definedName name="IngresoGravable">'Cálculo semanal detallado anual'!$I$8:$I$60</definedName>
    <definedName name="ISRDirecto">'Cálculo semanal detallado anual'!$K$8:$K$60</definedName>
    <definedName name="ISRDirectoMes">'Cálculo semanal detallado anual'!$R$8:$R$60</definedName>
    <definedName name="ISRRetener">'Cálculo semanal detallado anual'!$O$8:$O$60</definedName>
    <definedName name="ISRRetenerMes">'Cálculo semanal detallado anual'!$T$8:$T$60</definedName>
    <definedName name="ListaOp">TARIFAS!$A$69:$A$70</definedName>
    <definedName name="ListaOP2">TARIFAS!$E$73:$E$74</definedName>
    <definedName name="MesPago">'Cálculo semanal detallado anual'!$C$8:$C$60</definedName>
    <definedName name="OPCIONES">TARIFAS!$G$6:$G$10</definedName>
    <definedName name="SalarioMinimo">'Cálculo semanal detallado anual'!$B$2</definedName>
    <definedName name="SubAnual">TARIFAS!$F$39:$G$49</definedName>
    <definedName name="SubMes">TARIFAS!$B$22:$C$32</definedName>
    <definedName name="SubPer">TARIFAS!$K$22:$L$32</definedName>
    <definedName name="SubQ">TARIFAS!$P$22:$Q$32</definedName>
    <definedName name="SubsidioCausado">'Cálculo semanal detallado anual'!$L$8:$L$60</definedName>
    <definedName name="SubsidioCausadoDef">'Cálculo semanal detallado anual'!$N$8:$N$60</definedName>
    <definedName name="SubsidioCausadoMes">'Cálculo semanal detallado anual'!$S$8:$S$60</definedName>
    <definedName name="SubsidioEntregar">'Cálculo semanal detallado anual'!$P$8:$P$60</definedName>
    <definedName name="SubsidioEntregarDef">'Cálculo semanal detallado anual'!$Q$8:$Q$60</definedName>
    <definedName name="SubsidioEntregarMes">'Cálculo semanal detallado anual'!$U$8:$U$60</definedName>
    <definedName name="TablaMes">TARIFAS!$B$6:$D$16</definedName>
    <definedName name="TablaPer">TARIFAS!$K$6:$M$16</definedName>
    <definedName name="TablaQ">TARIFAS!$P$6:$R$16</definedName>
    <definedName name="Z_B421B96C_BE4E_4B6F_9142_FF1AE2A373A8_.wvu.Cols" localSheetId="4" hidden="1">'Cédula ISR Quincena'!#REF!</definedName>
    <definedName name="Z_B421B96C_BE4E_4B6F_9142_FF1AE2A373A8_.wvu.Cols" localSheetId="3" hidden="1">'Cédula ISR Semana 4'!#REF!</definedName>
    <definedName name="Z_B421B96C_BE4E_4B6F_9142_FF1AE2A373A8_.wvu.Cols" localSheetId="2" hidden="1">'Cédula ISR Semana 5'!#REF!</definedName>
    <definedName name="Z_B421B96C_BE4E_4B6F_9142_FF1AE2A373A8_.wvu.Cols" localSheetId="7" hidden="1">TARIFAS!#REF!</definedName>
    <definedName name="Z_B421B96C_BE4E_4B6F_9142_FF1AE2A373A8_.wvu.PrintArea" localSheetId="4" hidden="1">'Cédula ISR Quincena'!$D$1:$M$30</definedName>
    <definedName name="Z_B421B96C_BE4E_4B6F_9142_FF1AE2A373A8_.wvu.PrintArea" localSheetId="3" hidden="1">'Cédula ISR Semana 4'!$D$1:$O$30</definedName>
    <definedName name="Z_B421B96C_BE4E_4B6F_9142_FF1AE2A373A8_.wvu.PrintArea" localSheetId="2" hidden="1">'Cédula ISR Semana 5'!$D$1:$P$30</definedName>
  </definedNames>
  <calcPr calcId="191029"/>
  <customWorkbookViews>
    <customWorkbookView name="Benito Barragan - Vista personalizada" guid="{B421B96C-BE4E-4B6F-9142-FF1AE2A373A8}" mergeInterval="0" personalView="1" maximized="1" xWindow="1" yWindow="1" windowWidth="1127" windowHeight="58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66" l="1"/>
  <c r="F7" i="66" s="1"/>
  <c r="G7" i="66" s="1"/>
  <c r="E7" i="67"/>
  <c r="E8" i="67" s="1"/>
  <c r="E10" i="67" s="1"/>
  <c r="E11" i="67"/>
  <c r="G36" i="67"/>
  <c r="G35" i="67"/>
  <c r="G34" i="67"/>
  <c r="G33" i="67"/>
  <c r="D11" i="67"/>
  <c r="D8" i="67"/>
  <c r="D10" i="67" s="1"/>
  <c r="D11" i="66"/>
  <c r="E11" i="66"/>
  <c r="F11" i="66"/>
  <c r="G11" i="66"/>
  <c r="F6" i="66"/>
  <c r="G6" i="66" s="1"/>
  <c r="I36" i="66"/>
  <c r="I35" i="66"/>
  <c r="I34" i="66"/>
  <c r="I33" i="66"/>
  <c r="D8" i="66"/>
  <c r="D10" i="66" s="1"/>
  <c r="E6" i="66"/>
  <c r="E11" i="65"/>
  <c r="E12" i="67" l="1"/>
  <c r="E14" i="67" s="1"/>
  <c r="D12" i="67"/>
  <c r="G8" i="66"/>
  <c r="G10" i="66" s="1"/>
  <c r="F8" i="66"/>
  <c r="F10" i="66" s="1"/>
  <c r="F12" i="66" s="1"/>
  <c r="D12" i="66"/>
  <c r="E8" i="66"/>
  <c r="E10" i="66" s="1"/>
  <c r="J36" i="65"/>
  <c r="E13" i="67" l="1"/>
  <c r="D14" i="67"/>
  <c r="D16" i="67" s="1"/>
  <c r="D13" i="67"/>
  <c r="D15" i="67" s="1"/>
  <c r="F10" i="67"/>
  <c r="G10" i="67" s="1"/>
  <c r="F13" i="66"/>
  <c r="F14" i="66"/>
  <c r="F16" i="66" s="1"/>
  <c r="G12" i="66"/>
  <c r="E12" i="66"/>
  <c r="D14" i="66"/>
  <c r="D16" i="66" s="1"/>
  <c r="D13" i="66"/>
  <c r="D15" i="66" s="1"/>
  <c r="E7" i="65"/>
  <c r="F7" i="65" s="1"/>
  <c r="G7" i="65" s="1"/>
  <c r="G15" i="67" l="1"/>
  <c r="G16" i="67"/>
  <c r="D18" i="67"/>
  <c r="D20" i="67"/>
  <c r="G13" i="66"/>
  <c r="G14" i="66"/>
  <c r="D18" i="66"/>
  <c r="E14" i="66"/>
  <c r="E16" i="66" s="1"/>
  <c r="E13" i="66"/>
  <c r="E15" i="66" s="1"/>
  <c r="D20" i="66"/>
  <c r="F5" i="65"/>
  <c r="E6" i="65"/>
  <c r="E8" i="65" s="1"/>
  <c r="E10" i="65" s="1"/>
  <c r="J34" i="65"/>
  <c r="J35" i="65"/>
  <c r="J33" i="65"/>
  <c r="D11" i="65" a="1"/>
  <c r="D11" i="65" s="1"/>
  <c r="D8" i="65"/>
  <c r="D10" i="65" s="1"/>
  <c r="H7" i="65"/>
  <c r="G18" i="67" l="1"/>
  <c r="E15" i="67"/>
  <c r="D29" i="67"/>
  <c r="D28" i="67"/>
  <c r="E16" i="67"/>
  <c r="G20" i="67"/>
  <c r="E18" i="66"/>
  <c r="E29" i="66" s="1"/>
  <c r="E20" i="66"/>
  <c r="E28" i="66" s="1"/>
  <c r="D29" i="66"/>
  <c r="F15" i="66"/>
  <c r="D28" i="66"/>
  <c r="H10" i="66"/>
  <c r="I10" i="66" s="1"/>
  <c r="G16" i="66" s="1"/>
  <c r="E12" i="65"/>
  <c r="E14" i="65" s="1"/>
  <c r="E16" i="65" s="1"/>
  <c r="G5" i="65"/>
  <c r="H5" i="65" s="1"/>
  <c r="F11" i="65"/>
  <c r="F6" i="65"/>
  <c r="G6" i="65" s="1"/>
  <c r="G8" i="65" s="1"/>
  <c r="G10" i="65" s="1"/>
  <c r="G11" i="65" a="1"/>
  <c r="G11" i="65" s="1"/>
  <c r="D12" i="65"/>
  <c r="D30" i="67" l="1"/>
  <c r="E20" i="67"/>
  <c r="F20" i="67" s="1"/>
  <c r="H20" i="67" s="1"/>
  <c r="E25" i="67" s="1"/>
  <c r="F25" i="67" s="1"/>
  <c r="F16" i="67"/>
  <c r="H16" i="67" s="1"/>
  <c r="E18" i="67"/>
  <c r="F15" i="67"/>
  <c r="H15" i="67" s="1"/>
  <c r="E30" i="66"/>
  <c r="D30" i="66"/>
  <c r="F20" i="66"/>
  <c r="F28" i="66" s="1"/>
  <c r="F18" i="66"/>
  <c r="G15" i="66"/>
  <c r="I16" i="66"/>
  <c r="I15" i="66"/>
  <c r="F8" i="65"/>
  <c r="F10" i="65" s="1"/>
  <c r="H6" i="65"/>
  <c r="G12" i="65"/>
  <c r="G13" i="65" s="1"/>
  <c r="G15" i="65" s="1"/>
  <c r="E13" i="65"/>
  <c r="E15" i="65" s="1"/>
  <c r="E20" i="65" s="1"/>
  <c r="E28" i="65" s="1"/>
  <c r="D13" i="65"/>
  <c r="D15" i="65" s="1"/>
  <c r="D14" i="65"/>
  <c r="D16" i="65" s="1"/>
  <c r="E21" i="67" l="1"/>
  <c r="F21" i="67" s="1"/>
  <c r="F18" i="67"/>
  <c r="E17" i="67"/>
  <c r="F17" i="67" s="1"/>
  <c r="E22" i="67"/>
  <c r="I18" i="66"/>
  <c r="I20" i="66"/>
  <c r="G20" i="66" s="1"/>
  <c r="G18" i="66"/>
  <c r="H16" i="66"/>
  <c r="J16" i="66" s="1"/>
  <c r="F29" i="66"/>
  <c r="F30" i="66" s="1"/>
  <c r="H15" i="66"/>
  <c r="J15" i="66" s="1"/>
  <c r="F12" i="65"/>
  <c r="F13" i="65" s="1"/>
  <c r="F15" i="65" s="1"/>
  <c r="H11" i="65" a="1"/>
  <c r="H11" i="65" s="1"/>
  <c r="H8" i="65"/>
  <c r="H10" i="65" s="1"/>
  <c r="G14" i="65"/>
  <c r="G16" i="65" s="1"/>
  <c r="E18" i="65"/>
  <c r="E29" i="65" s="1"/>
  <c r="E30" i="65" s="1"/>
  <c r="D20" i="65"/>
  <c r="D28" i="65" s="1"/>
  <c r="D18" i="65"/>
  <c r="D29" i="65" s="1"/>
  <c r="H18" i="67" l="1"/>
  <c r="E19" i="67" s="1"/>
  <c r="E23" i="67"/>
  <c r="E27" i="67" s="1"/>
  <c r="F27" i="67" s="1"/>
  <c r="F22" i="67"/>
  <c r="E26" i="67"/>
  <c r="F26" i="67" s="1"/>
  <c r="H20" i="66"/>
  <c r="J20" i="66" s="1"/>
  <c r="H18" i="66"/>
  <c r="G17" i="66"/>
  <c r="H17" i="66" s="1"/>
  <c r="G22" i="66"/>
  <c r="G20" i="65"/>
  <c r="G28" i="65" s="1"/>
  <c r="D30" i="65"/>
  <c r="F14" i="65"/>
  <c r="F16" i="65" s="1"/>
  <c r="I10" i="65"/>
  <c r="J10" i="65" s="1"/>
  <c r="H12" i="65"/>
  <c r="F19" i="67" l="1"/>
  <c r="E29" i="67"/>
  <c r="E24" i="67"/>
  <c r="F23" i="67"/>
  <c r="H22" i="66"/>
  <c r="G25" i="66"/>
  <c r="H25" i="66" s="1"/>
  <c r="G21" i="66"/>
  <c r="J18" i="66"/>
  <c r="G19" i="66" s="1"/>
  <c r="G18" i="65"/>
  <c r="G29" i="65" s="1"/>
  <c r="G30" i="65" s="1"/>
  <c r="F18" i="65"/>
  <c r="F29" i="65" s="1"/>
  <c r="H13" i="65"/>
  <c r="H15" i="65" s="1"/>
  <c r="I15" i="65" s="1"/>
  <c r="H14" i="65"/>
  <c r="J16" i="65"/>
  <c r="J15" i="65"/>
  <c r="F24" i="67" l="1"/>
  <c r="E28" i="67"/>
  <c r="E30" i="67" s="1"/>
  <c r="F30" i="67" s="1"/>
  <c r="G26" i="66"/>
  <c r="H26" i="66" s="1"/>
  <c r="G23" i="66"/>
  <c r="G24" i="66" s="1"/>
  <c r="H24" i="66" s="1"/>
  <c r="H21" i="66"/>
  <c r="H19" i="66"/>
  <c r="H16" i="65"/>
  <c r="H18" i="65" s="1"/>
  <c r="F20" i="65"/>
  <c r="F28" i="65" s="1"/>
  <c r="F30" i="65" s="1"/>
  <c r="J18" i="65"/>
  <c r="K15" i="65"/>
  <c r="J20" i="65"/>
  <c r="G29" i="66" l="1"/>
  <c r="G27" i="66"/>
  <c r="H27" i="66" s="1"/>
  <c r="H23" i="66"/>
  <c r="I16" i="65"/>
  <c r="K16" i="65" s="1"/>
  <c r="H17" i="65" s="1"/>
  <c r="I17" i="65" s="1"/>
  <c r="H20" i="65"/>
  <c r="I20" i="65" s="1"/>
  <c r="K20" i="65" s="1"/>
  <c r="H21" i="65" s="1"/>
  <c r="I21" i="65" s="1"/>
  <c r="I18" i="65"/>
  <c r="G28" i="66" l="1"/>
  <c r="G30" i="66" s="1"/>
  <c r="H30" i="66" s="1"/>
  <c r="H22" i="65"/>
  <c r="I22" i="65" s="1"/>
  <c r="K18" i="65"/>
  <c r="H19" i="65" s="1"/>
  <c r="H25" i="65"/>
  <c r="D4" i="17"/>
  <c r="D5" i="17"/>
  <c r="D3" i="17"/>
  <c r="H23" i="65" l="1"/>
  <c r="H27" i="65" s="1"/>
  <c r="I27" i="65" s="1"/>
  <c r="I19" i="65"/>
  <c r="H26" i="65"/>
  <c r="I26" i="65" s="1"/>
  <c r="I25" i="65"/>
  <c r="B9" i="17"/>
  <c r="I23" i="65" l="1"/>
  <c r="H24" i="65"/>
  <c r="I24" i="65" s="1"/>
  <c r="H29" i="65"/>
  <c r="G8" i="17"/>
  <c r="I8" i="17" s="1"/>
  <c r="H28" i="65" l="1"/>
  <c r="H30" i="65" s="1"/>
  <c r="I30" i="65" s="1"/>
  <c r="K8" i="17"/>
  <c r="J8" i="17"/>
  <c r="T8" i="17" s="1"/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F9" i="17" l="1"/>
  <c r="F10" i="17" s="1"/>
  <c r="G10" i="17" l="1"/>
  <c r="I10" i="17" s="1"/>
  <c r="F11" i="17"/>
  <c r="G11" i="17" s="1"/>
  <c r="I11" i="17" s="1"/>
  <c r="F12" i="17" l="1"/>
  <c r="F13" i="17" l="1"/>
  <c r="G12" i="17"/>
  <c r="I12" i="17" s="1"/>
  <c r="F14" i="17" l="1"/>
  <c r="G13" i="17"/>
  <c r="I13" i="17" s="1"/>
  <c r="F15" i="17" l="1"/>
  <c r="G14" i="17"/>
  <c r="I14" i="17" s="1"/>
  <c r="G15" i="17" l="1"/>
  <c r="I15" i="17" s="1"/>
  <c r="F16" i="17"/>
  <c r="F17" i="17" l="1"/>
  <c r="G16" i="17"/>
  <c r="I16" i="17" s="1"/>
  <c r="F18" i="17" l="1"/>
  <c r="G17" i="17"/>
  <c r="I17" i="17" s="1"/>
  <c r="G18" i="17" l="1"/>
  <c r="I18" i="17" s="1"/>
  <c r="F19" i="17"/>
  <c r="F20" i="17" l="1"/>
  <c r="G19" i="17"/>
  <c r="I19" i="17" s="1"/>
  <c r="F21" i="17" l="1"/>
  <c r="G20" i="17"/>
  <c r="I20" i="17" s="1"/>
  <c r="F22" i="17" l="1"/>
  <c r="G21" i="17"/>
  <c r="I21" i="17" s="1"/>
  <c r="G22" i="17" l="1"/>
  <c r="I22" i="17" s="1"/>
  <c r="F23" i="17"/>
  <c r="F24" i="17" l="1"/>
  <c r="G23" i="17"/>
  <c r="I23" i="17" s="1"/>
  <c r="G24" i="17" l="1"/>
  <c r="I24" i="17" s="1"/>
  <c r="F25" i="17"/>
  <c r="F26" i="17" l="1"/>
  <c r="G25" i="17"/>
  <c r="I25" i="17" s="1"/>
  <c r="F27" i="17" l="1"/>
  <c r="G26" i="17"/>
  <c r="I26" i="17" s="1"/>
  <c r="F28" i="17" l="1"/>
  <c r="G27" i="17"/>
  <c r="I27" i="17" s="1"/>
  <c r="F29" i="17" l="1"/>
  <c r="G28" i="17"/>
  <c r="I28" i="17" s="1"/>
  <c r="F30" i="17" l="1"/>
  <c r="G29" i="17"/>
  <c r="I29" i="17" s="1"/>
  <c r="F31" i="17" l="1"/>
  <c r="G30" i="17"/>
  <c r="I30" i="17" s="1"/>
  <c r="F32" i="17" l="1"/>
  <c r="G31" i="17"/>
  <c r="I31" i="17" s="1"/>
  <c r="F33" i="17" l="1"/>
  <c r="G32" i="17"/>
  <c r="I32" i="17" s="1"/>
  <c r="F34" i="17" l="1"/>
  <c r="G33" i="17"/>
  <c r="I33" i="17" s="1"/>
  <c r="F35" i="17" l="1"/>
  <c r="G34" i="17"/>
  <c r="I34" i="17" s="1"/>
  <c r="F36" i="17" l="1"/>
  <c r="G35" i="17"/>
  <c r="I35" i="17" s="1"/>
  <c r="F37" i="17" l="1"/>
  <c r="G36" i="17"/>
  <c r="I36" i="17" s="1"/>
  <c r="F38" i="17" l="1"/>
  <c r="G37" i="17"/>
  <c r="I37" i="17" s="1"/>
  <c r="F39" i="17" l="1"/>
  <c r="G38" i="17"/>
  <c r="I38" i="17" s="1"/>
  <c r="F40" i="17" l="1"/>
  <c r="G39" i="17"/>
  <c r="I39" i="17" s="1"/>
  <c r="F41" i="17" l="1"/>
  <c r="G40" i="17"/>
  <c r="I40" i="17" s="1"/>
  <c r="F42" i="17" l="1"/>
  <c r="G41" i="17"/>
  <c r="I41" i="17" s="1"/>
  <c r="F43" i="17" l="1"/>
  <c r="G42" i="17"/>
  <c r="I42" i="17" s="1"/>
  <c r="F44" i="17" l="1"/>
  <c r="G43" i="17"/>
  <c r="I43" i="17" s="1"/>
  <c r="F45" i="17" l="1"/>
  <c r="G44" i="17"/>
  <c r="I44" i="17" s="1"/>
  <c r="F46" i="17" l="1"/>
  <c r="G45" i="17"/>
  <c r="I45" i="17" s="1"/>
  <c r="F47" i="17" l="1"/>
  <c r="G46" i="17"/>
  <c r="I46" i="17" s="1"/>
  <c r="F48" i="17" l="1"/>
  <c r="G47" i="17"/>
  <c r="I47" i="17" s="1"/>
  <c r="F49" i="17" l="1"/>
  <c r="G48" i="17"/>
  <c r="I48" i="17" s="1"/>
  <c r="F50" i="17" l="1"/>
  <c r="G49" i="17"/>
  <c r="I49" i="17" s="1"/>
  <c r="F51" i="17" l="1"/>
  <c r="G50" i="17"/>
  <c r="I50" i="17" s="1"/>
  <c r="F52" i="17" l="1"/>
  <c r="G51" i="17"/>
  <c r="I51" i="17" s="1"/>
  <c r="F53" i="17" l="1"/>
  <c r="G52" i="17"/>
  <c r="I52" i="17" s="1"/>
  <c r="F54" i="17" l="1"/>
  <c r="G53" i="17"/>
  <c r="I53" i="17" s="1"/>
  <c r="F55" i="17" l="1"/>
  <c r="G54" i="17"/>
  <c r="I54" i="17" s="1"/>
  <c r="F56" i="17" l="1"/>
  <c r="G55" i="17"/>
  <c r="I55" i="17" s="1"/>
  <c r="F57" i="17" l="1"/>
  <c r="G56" i="17"/>
  <c r="I56" i="17" s="1"/>
  <c r="G9" i="17"/>
  <c r="B10" i="17"/>
  <c r="C8" i="17"/>
  <c r="I9" i="17" l="1"/>
  <c r="F58" i="17"/>
  <c r="G57" i="17"/>
  <c r="I57" i="17" s="1"/>
  <c r="C10" i="17"/>
  <c r="B11" i="17"/>
  <c r="C9" i="17"/>
  <c r="D8" i="17" l="1"/>
  <c r="D9" i="17"/>
  <c r="F59" i="17"/>
  <c r="F60" i="17" s="1"/>
  <c r="G60" i="17" s="1"/>
  <c r="I60" i="17" s="1"/>
  <c r="G58" i="17"/>
  <c r="I58" i="17" s="1"/>
  <c r="C11" i="17"/>
  <c r="B12" i="17"/>
  <c r="C12" i="17" s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B5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C6" i="1"/>
  <c r="C7" i="1"/>
  <c r="C8" i="1"/>
  <c r="C9" i="1"/>
  <c r="C10" i="1"/>
  <c r="C11" i="1"/>
  <c r="C12" i="1"/>
  <c r="C13" i="1"/>
  <c r="C14" i="1"/>
  <c r="C5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W9" i="17" l="1"/>
  <c r="V9" i="17"/>
  <c r="AB9" i="17" s="1"/>
  <c r="AC9" i="17"/>
  <c r="AA9" i="17"/>
  <c r="R8" i="17"/>
  <c r="AC8" i="17"/>
  <c r="V8" i="17"/>
  <c r="AB8" i="17" s="1"/>
  <c r="AA8" i="17"/>
  <c r="Z8" i="17"/>
  <c r="X8" i="17"/>
  <c r="Y8" i="17" s="1"/>
  <c r="S8" i="17"/>
  <c r="W8" i="17"/>
  <c r="N8" i="17"/>
  <c r="N9" i="17"/>
  <c r="Z9" i="17"/>
  <c r="X9" i="17"/>
  <c r="R9" i="17"/>
  <c r="S9" i="17"/>
  <c r="J9" i="17"/>
  <c r="J10" i="17" s="1"/>
  <c r="D10" i="17"/>
  <c r="D11" i="17"/>
  <c r="G59" i="17"/>
  <c r="I59" i="17" s="1"/>
  <c r="B13" i="17"/>
  <c r="U8" i="17" l="1"/>
  <c r="O8" i="17"/>
  <c r="P8" i="17"/>
  <c r="V10" i="17"/>
  <c r="AB10" i="17" s="1"/>
  <c r="W10" i="17"/>
  <c r="AC10" i="17"/>
  <c r="AA10" i="17"/>
  <c r="N10" i="17"/>
  <c r="V11" i="17"/>
  <c r="AB11" i="17" s="1"/>
  <c r="W11" i="17"/>
  <c r="AA11" i="17"/>
  <c r="AC11" i="17"/>
  <c r="N11" i="17"/>
  <c r="Y9" i="17"/>
  <c r="X10" i="17"/>
  <c r="Z10" i="17"/>
  <c r="X11" i="17"/>
  <c r="Z11" i="17"/>
  <c r="I4" i="17"/>
  <c r="D6" i="14" s="1"/>
  <c r="D7" i="14" s="1"/>
  <c r="R10" i="17"/>
  <c r="S10" i="17"/>
  <c r="J11" i="17"/>
  <c r="J12" i="17" s="1"/>
  <c r="S11" i="17"/>
  <c r="R11" i="17"/>
  <c r="L8" i="17"/>
  <c r="M8" i="17" s="1"/>
  <c r="U9" i="17"/>
  <c r="K58" i="17"/>
  <c r="L60" i="17"/>
  <c r="L11" i="17"/>
  <c r="L10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9" i="17"/>
  <c r="L57" i="17"/>
  <c r="L58" i="17"/>
  <c r="K60" i="17"/>
  <c r="K11" i="17"/>
  <c r="K10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9" i="17"/>
  <c r="K57" i="17"/>
  <c r="K59" i="17"/>
  <c r="L59" i="17"/>
  <c r="C13" i="17"/>
  <c r="B14" i="17"/>
  <c r="M9" i="17" l="1"/>
  <c r="P11" i="17"/>
  <c r="Q11" i="17" s="1"/>
  <c r="O11" i="17"/>
  <c r="O9" i="17"/>
  <c r="P9" i="17"/>
  <c r="Q9" i="17" s="1"/>
  <c r="P60" i="17"/>
  <c r="O60" i="17"/>
  <c r="M10" i="17"/>
  <c r="M11" i="17" s="1"/>
  <c r="P10" i="17"/>
  <c r="Q10" i="17" s="1"/>
  <c r="O10" i="17"/>
  <c r="Y10" i="17"/>
  <c r="Y11" i="17"/>
  <c r="L4" i="17"/>
  <c r="K4" i="17"/>
  <c r="Q8" i="17"/>
  <c r="AD8" i="17" s="1"/>
  <c r="U10" i="17"/>
  <c r="T9" i="17"/>
  <c r="T10" i="17"/>
  <c r="D12" i="17"/>
  <c r="M13" i="17" s="1"/>
  <c r="C14" i="17"/>
  <c r="B15" i="17"/>
  <c r="AD9" i="17" l="1"/>
  <c r="AD11" i="17"/>
  <c r="AD10" i="17"/>
  <c r="M12" i="17"/>
  <c r="N12" i="17"/>
  <c r="O12" i="17" s="1"/>
  <c r="S12" i="17"/>
  <c r="R12" i="17"/>
  <c r="C15" i="17"/>
  <c r="B16" i="17"/>
  <c r="D13" i="17"/>
  <c r="W13" i="17" l="1"/>
  <c r="V13" i="17"/>
  <c r="AB13" i="17" s="1"/>
  <c r="AC13" i="17"/>
  <c r="AA13" i="17"/>
  <c r="N13" i="17"/>
  <c r="M14" i="17"/>
  <c r="P12" i="17"/>
  <c r="X13" i="17"/>
  <c r="Z13" i="17"/>
  <c r="S13" i="17"/>
  <c r="R13" i="17"/>
  <c r="U11" i="17"/>
  <c r="T11" i="17"/>
  <c r="J13" i="17"/>
  <c r="C16" i="17"/>
  <c r="B17" i="17"/>
  <c r="D14" i="17"/>
  <c r="O13" i="17" l="1"/>
  <c r="P13" i="17"/>
  <c r="Q13" i="17" s="1"/>
  <c r="W14" i="17"/>
  <c r="V14" i="17"/>
  <c r="AB14" i="17" s="1"/>
  <c r="AA14" i="17"/>
  <c r="AC14" i="17"/>
  <c r="N14" i="17"/>
  <c r="M15" i="17"/>
  <c r="Y13" i="17"/>
  <c r="X14" i="17"/>
  <c r="Z14" i="17"/>
  <c r="S14" i="17"/>
  <c r="R14" i="17"/>
  <c r="T13" i="17"/>
  <c r="U13" i="17"/>
  <c r="J14" i="17"/>
  <c r="D15" i="17"/>
  <c r="C17" i="17"/>
  <c r="B18" i="17"/>
  <c r="AD13" i="17" l="1"/>
  <c r="P14" i="17"/>
  <c r="Q14" i="17" s="1"/>
  <c r="O14" i="17"/>
  <c r="V15" i="17"/>
  <c r="AB15" i="17" s="1"/>
  <c r="W15" i="17"/>
  <c r="AA15" i="17"/>
  <c r="AC15" i="17"/>
  <c r="N15" i="17"/>
  <c r="M16" i="17"/>
  <c r="Y14" i="17"/>
  <c r="Z15" i="17"/>
  <c r="X15" i="17"/>
  <c r="S15" i="17"/>
  <c r="R15" i="17"/>
  <c r="T12" i="17"/>
  <c r="T14" i="17"/>
  <c r="U14" i="17"/>
  <c r="J15" i="17"/>
  <c r="J16" i="17" s="1"/>
  <c r="C18" i="17"/>
  <c r="B19" i="17"/>
  <c r="D16" i="17"/>
  <c r="M17" i="17" s="1"/>
  <c r="AD14" i="17" l="1"/>
  <c r="N16" i="17"/>
  <c r="O16" i="17" s="1"/>
  <c r="O15" i="17"/>
  <c r="P15" i="17"/>
  <c r="Q15" i="17" s="1"/>
  <c r="Y15" i="17"/>
  <c r="S16" i="17"/>
  <c r="R16" i="17"/>
  <c r="U12" i="17"/>
  <c r="J17" i="17"/>
  <c r="C19" i="17"/>
  <c r="B20" i="17"/>
  <c r="D17" i="17"/>
  <c r="AD15" i="17" l="1"/>
  <c r="P16" i="17"/>
  <c r="V17" i="17"/>
  <c r="AB17" i="17" s="1"/>
  <c r="W17" i="17"/>
  <c r="AC17" i="17"/>
  <c r="AA17" i="17"/>
  <c r="N17" i="17"/>
  <c r="M18" i="17"/>
  <c r="M19" i="17" s="1"/>
  <c r="X17" i="17"/>
  <c r="Z17" i="17"/>
  <c r="R17" i="17"/>
  <c r="S17" i="17"/>
  <c r="T15" i="17"/>
  <c r="U15" i="17"/>
  <c r="D18" i="17"/>
  <c r="J18" i="17"/>
  <c r="C20" i="17"/>
  <c r="B21" i="17"/>
  <c r="P17" i="17" l="1"/>
  <c r="Q17" i="17" s="1"/>
  <c r="O17" i="17"/>
  <c r="W18" i="17"/>
  <c r="V18" i="17"/>
  <c r="AB18" i="17" s="1"/>
  <c r="AC18" i="17"/>
  <c r="AA18" i="17"/>
  <c r="N18" i="17"/>
  <c r="Y17" i="17"/>
  <c r="Z18" i="17"/>
  <c r="X18" i="17"/>
  <c r="T17" i="17"/>
  <c r="R18" i="17"/>
  <c r="S18" i="17"/>
  <c r="U17" i="17"/>
  <c r="J19" i="17"/>
  <c r="D19" i="17"/>
  <c r="C21" i="17"/>
  <c r="B22" i="17"/>
  <c r="W19" i="17" l="1"/>
  <c r="V19" i="17"/>
  <c r="AB19" i="17" s="1"/>
  <c r="AC19" i="17"/>
  <c r="AA19" i="17"/>
  <c r="N19" i="17"/>
  <c r="AD17" i="17"/>
  <c r="O18" i="17"/>
  <c r="P18" i="17"/>
  <c r="Q18" i="17" s="1"/>
  <c r="M20" i="17"/>
  <c r="Y18" i="17"/>
  <c r="Z19" i="17"/>
  <c r="X19" i="17"/>
  <c r="T18" i="17"/>
  <c r="R19" i="17"/>
  <c r="S19" i="17"/>
  <c r="T16" i="17"/>
  <c r="U16" i="17"/>
  <c r="U18" i="17"/>
  <c r="J20" i="17"/>
  <c r="D20" i="17"/>
  <c r="M21" i="17" s="1"/>
  <c r="C22" i="17"/>
  <c r="B23" i="17"/>
  <c r="N20" i="17" l="1"/>
  <c r="O20" i="17" s="1"/>
  <c r="AD18" i="17"/>
  <c r="O19" i="17"/>
  <c r="P19" i="17"/>
  <c r="Q19" i="17" s="1"/>
  <c r="Y19" i="17"/>
  <c r="S20" i="17"/>
  <c r="R20" i="17"/>
  <c r="T19" i="17"/>
  <c r="U19" i="17"/>
  <c r="J21" i="17"/>
  <c r="D21" i="17"/>
  <c r="C23" i="17"/>
  <c r="B24" i="17"/>
  <c r="AD19" i="17" l="1"/>
  <c r="W21" i="17"/>
  <c r="V21" i="17"/>
  <c r="AB21" i="17" s="1"/>
  <c r="AC21" i="17"/>
  <c r="AA21" i="17"/>
  <c r="N21" i="17"/>
  <c r="M22" i="17"/>
  <c r="P20" i="17"/>
  <c r="Z21" i="17"/>
  <c r="X21" i="17"/>
  <c r="R21" i="17"/>
  <c r="S21" i="17"/>
  <c r="T21" i="17" s="1"/>
  <c r="C24" i="17"/>
  <c r="B25" i="17"/>
  <c r="J22" i="17"/>
  <c r="D22" i="17"/>
  <c r="O21" i="17" l="1"/>
  <c r="P21" i="17"/>
  <c r="Q21" i="17" s="1"/>
  <c r="W22" i="17"/>
  <c r="V22" i="17"/>
  <c r="AB22" i="17" s="1"/>
  <c r="AC22" i="17"/>
  <c r="AA22" i="17"/>
  <c r="N22" i="17"/>
  <c r="M23" i="17"/>
  <c r="Y21" i="17"/>
  <c r="X22" i="17"/>
  <c r="Z22" i="17"/>
  <c r="S22" i="17"/>
  <c r="R22" i="17"/>
  <c r="U21" i="17"/>
  <c r="D23" i="17"/>
  <c r="C25" i="17"/>
  <c r="B26" i="17"/>
  <c r="J23" i="17"/>
  <c r="AD21" i="17" l="1"/>
  <c r="O22" i="17"/>
  <c r="P22" i="17"/>
  <c r="Q22" i="17" s="1"/>
  <c r="W23" i="17"/>
  <c r="V23" i="17"/>
  <c r="AB23" i="17" s="1"/>
  <c r="AC23" i="17"/>
  <c r="AA23" i="17"/>
  <c r="N23" i="17"/>
  <c r="M24" i="17"/>
  <c r="Y22" i="17"/>
  <c r="Z23" i="17"/>
  <c r="X23" i="17"/>
  <c r="T22" i="17"/>
  <c r="S23" i="17"/>
  <c r="R23" i="17"/>
  <c r="T20" i="17"/>
  <c r="U20" i="17"/>
  <c r="U22" i="17"/>
  <c r="J24" i="17"/>
  <c r="D24" i="17"/>
  <c r="M25" i="17" s="1"/>
  <c r="C26" i="17"/>
  <c r="B27" i="17"/>
  <c r="AD22" i="17" l="1"/>
  <c r="N24" i="17"/>
  <c r="O24" i="17" s="1"/>
  <c r="O23" i="17"/>
  <c r="P23" i="17"/>
  <c r="Q23" i="17" s="1"/>
  <c r="Y23" i="17"/>
  <c r="S24" i="17"/>
  <c r="R24" i="17"/>
  <c r="T23" i="17"/>
  <c r="U23" i="17"/>
  <c r="D25" i="17"/>
  <c r="J25" i="17"/>
  <c r="C27" i="17"/>
  <c r="B28" i="17"/>
  <c r="P24" i="17" l="1"/>
  <c r="W25" i="17"/>
  <c r="V25" i="17"/>
  <c r="AB25" i="17" s="1"/>
  <c r="AA25" i="17"/>
  <c r="AC25" i="17"/>
  <c r="N25" i="17"/>
  <c r="M26" i="17"/>
  <c r="M27" i="17" s="1"/>
  <c r="AD23" i="17"/>
  <c r="Z25" i="17"/>
  <c r="X25" i="17"/>
  <c r="S25" i="17"/>
  <c r="R25" i="17"/>
  <c r="T25" i="17" s="1"/>
  <c r="T24" i="17"/>
  <c r="U24" i="17"/>
  <c r="J26" i="17"/>
  <c r="D26" i="17"/>
  <c r="C28" i="17"/>
  <c r="B29" i="17"/>
  <c r="O25" i="17" l="1"/>
  <c r="P25" i="17"/>
  <c r="Q25" i="17" s="1"/>
  <c r="V26" i="17"/>
  <c r="AB26" i="17" s="1"/>
  <c r="W26" i="17"/>
  <c r="AA26" i="17"/>
  <c r="AC26" i="17"/>
  <c r="N26" i="17"/>
  <c r="Y25" i="17"/>
  <c r="Z26" i="17"/>
  <c r="X26" i="17"/>
  <c r="S26" i="17"/>
  <c r="R26" i="17"/>
  <c r="U25" i="17"/>
  <c r="D27" i="17"/>
  <c r="M28" i="17" s="1"/>
  <c r="C29" i="17"/>
  <c r="B30" i="17"/>
  <c r="J27" i="17"/>
  <c r="AD25" i="17" l="1"/>
  <c r="W27" i="17"/>
  <c r="V27" i="17"/>
  <c r="AB27" i="17" s="1"/>
  <c r="AC27" i="17"/>
  <c r="AA27" i="17"/>
  <c r="N27" i="17"/>
  <c r="O26" i="17"/>
  <c r="P26" i="17"/>
  <c r="Q26" i="17" s="1"/>
  <c r="Y26" i="17"/>
  <c r="X27" i="17"/>
  <c r="Z27" i="17"/>
  <c r="R27" i="17"/>
  <c r="S27" i="17"/>
  <c r="T26" i="17"/>
  <c r="U26" i="17"/>
  <c r="J28" i="17"/>
  <c r="D28" i="17"/>
  <c r="C30" i="17"/>
  <c r="B31" i="17"/>
  <c r="O27" i="17" l="1"/>
  <c r="P27" i="17"/>
  <c r="Q27" i="17" s="1"/>
  <c r="V28" i="17"/>
  <c r="AB28" i="17" s="1"/>
  <c r="W28" i="17"/>
  <c r="AC28" i="17"/>
  <c r="AA28" i="17"/>
  <c r="N28" i="17"/>
  <c r="AD26" i="17"/>
  <c r="M29" i="17"/>
  <c r="Y27" i="17"/>
  <c r="Z28" i="17"/>
  <c r="X28" i="17"/>
  <c r="R28" i="17"/>
  <c r="S28" i="17"/>
  <c r="T27" i="17"/>
  <c r="U27" i="17"/>
  <c r="D29" i="17"/>
  <c r="M30" i="17" s="1"/>
  <c r="C31" i="17"/>
  <c r="B32" i="17"/>
  <c r="J29" i="17"/>
  <c r="N29" i="17" s="1"/>
  <c r="O29" i="17" s="1"/>
  <c r="AD27" i="17" l="1"/>
  <c r="O28" i="17"/>
  <c r="P28" i="17"/>
  <c r="Q28" i="17" s="1"/>
  <c r="P29" i="17"/>
  <c r="Y28" i="17"/>
  <c r="S29" i="17"/>
  <c r="R29" i="17"/>
  <c r="T28" i="17"/>
  <c r="U28" i="17"/>
  <c r="J30" i="17"/>
  <c r="D30" i="17"/>
  <c r="C32" i="17"/>
  <c r="B33" i="17"/>
  <c r="AD28" i="17" l="1"/>
  <c r="W30" i="17"/>
  <c r="V30" i="17"/>
  <c r="AB30" i="17" s="1"/>
  <c r="AC30" i="17"/>
  <c r="AA30" i="17"/>
  <c r="N30" i="17"/>
  <c r="M31" i="17"/>
  <c r="X30" i="17"/>
  <c r="Z30" i="17"/>
  <c r="R30" i="17"/>
  <c r="T30" i="17" s="1"/>
  <c r="S30" i="17"/>
  <c r="T29" i="17"/>
  <c r="U29" i="17"/>
  <c r="D31" i="17"/>
  <c r="C33" i="17"/>
  <c r="B34" i="17"/>
  <c r="J31" i="17"/>
  <c r="M32" i="17" l="1"/>
  <c r="O30" i="17"/>
  <c r="P30" i="17"/>
  <c r="Q30" i="17" s="1"/>
  <c r="W31" i="17"/>
  <c r="V31" i="17"/>
  <c r="AB31" i="17" s="1"/>
  <c r="AC31" i="17"/>
  <c r="AA31" i="17"/>
  <c r="N31" i="17"/>
  <c r="Y30" i="17"/>
  <c r="Z31" i="17"/>
  <c r="X31" i="17"/>
  <c r="R31" i="17"/>
  <c r="S31" i="17"/>
  <c r="U30" i="17"/>
  <c r="D32" i="17"/>
  <c r="C34" i="17"/>
  <c r="B35" i="17"/>
  <c r="J32" i="17"/>
  <c r="AD30" i="17" l="1"/>
  <c r="M33" i="17"/>
  <c r="P31" i="17"/>
  <c r="Q31" i="17" s="1"/>
  <c r="O31" i="17"/>
  <c r="V32" i="17"/>
  <c r="AB32" i="17" s="1"/>
  <c r="W32" i="17"/>
  <c r="AA32" i="17"/>
  <c r="AC32" i="17"/>
  <c r="N32" i="17"/>
  <c r="Y31" i="17"/>
  <c r="X32" i="17"/>
  <c r="Z32" i="17"/>
  <c r="R32" i="17"/>
  <c r="S32" i="17"/>
  <c r="T31" i="17"/>
  <c r="U31" i="17"/>
  <c r="J33" i="17"/>
  <c r="N33" i="17" s="1"/>
  <c r="O33" i="17" s="1"/>
  <c r="D33" i="17"/>
  <c r="M34" i="17" s="1"/>
  <c r="C35" i="17"/>
  <c r="B36" i="17"/>
  <c r="AD31" i="17" l="1"/>
  <c r="O32" i="17"/>
  <c r="P32" i="17"/>
  <c r="Q32" i="17" s="1"/>
  <c r="P33" i="17"/>
  <c r="Y32" i="17"/>
  <c r="S33" i="17"/>
  <c r="R33" i="17"/>
  <c r="T32" i="17"/>
  <c r="U32" i="17"/>
  <c r="J34" i="17"/>
  <c r="C36" i="17"/>
  <c r="B37" i="17"/>
  <c r="D34" i="17"/>
  <c r="AD32" i="17" l="1"/>
  <c r="W34" i="17"/>
  <c r="V34" i="17"/>
  <c r="AB34" i="17" s="1"/>
  <c r="AC34" i="17"/>
  <c r="AA34" i="17"/>
  <c r="N34" i="17"/>
  <c r="M35" i="17"/>
  <c r="X34" i="17"/>
  <c r="Z34" i="17"/>
  <c r="S34" i="17"/>
  <c r="R34" i="17"/>
  <c r="T33" i="17"/>
  <c r="U33" i="17"/>
  <c r="T34" i="17"/>
  <c r="D35" i="17"/>
  <c r="C37" i="17"/>
  <c r="B38" i="17"/>
  <c r="J35" i="17"/>
  <c r="W35" i="17" l="1"/>
  <c r="V35" i="17"/>
  <c r="AB35" i="17" s="1"/>
  <c r="AA35" i="17"/>
  <c r="AC35" i="17"/>
  <c r="N35" i="17"/>
  <c r="M36" i="17"/>
  <c r="O34" i="17"/>
  <c r="P34" i="17"/>
  <c r="Q34" i="17" s="1"/>
  <c r="Y34" i="17"/>
  <c r="Z35" i="17"/>
  <c r="X35" i="17"/>
  <c r="S35" i="17"/>
  <c r="R35" i="17"/>
  <c r="U34" i="17"/>
  <c r="C38" i="17"/>
  <c r="B39" i="17"/>
  <c r="D36" i="17"/>
  <c r="J36" i="17"/>
  <c r="AD34" i="17" l="1"/>
  <c r="M37" i="17"/>
  <c r="V36" i="17"/>
  <c r="AB36" i="17" s="1"/>
  <c r="W36" i="17"/>
  <c r="AC36" i="17"/>
  <c r="AA36" i="17"/>
  <c r="N36" i="17"/>
  <c r="O35" i="17"/>
  <c r="P35" i="17"/>
  <c r="Q35" i="17" s="1"/>
  <c r="Y35" i="17"/>
  <c r="Z36" i="17"/>
  <c r="X36" i="17"/>
  <c r="S36" i="17"/>
  <c r="R36" i="17"/>
  <c r="T35" i="17"/>
  <c r="U35" i="17"/>
  <c r="D37" i="17"/>
  <c r="M38" i="17" s="1"/>
  <c r="J37" i="17"/>
  <c r="C39" i="17"/>
  <c r="B40" i="17"/>
  <c r="O36" i="17" l="1"/>
  <c r="P36" i="17"/>
  <c r="Q36" i="17" s="1"/>
  <c r="N37" i="17"/>
  <c r="O37" i="17" s="1"/>
  <c r="AD35" i="17"/>
  <c r="Y36" i="17"/>
  <c r="S37" i="17"/>
  <c r="R37" i="17"/>
  <c r="T36" i="17"/>
  <c r="U36" i="17"/>
  <c r="J38" i="17"/>
  <c r="C40" i="17"/>
  <c r="B41" i="17"/>
  <c r="D38" i="17"/>
  <c r="AD36" i="17" l="1"/>
  <c r="P37" i="17"/>
  <c r="V38" i="17"/>
  <c r="AB38" i="17" s="1"/>
  <c r="W38" i="17"/>
  <c r="AA38" i="17"/>
  <c r="AC38" i="17"/>
  <c r="N38" i="17"/>
  <c r="M39" i="17"/>
  <c r="X38" i="17"/>
  <c r="Z38" i="17"/>
  <c r="R38" i="17"/>
  <c r="S38" i="17"/>
  <c r="T37" i="17"/>
  <c r="U37" i="17"/>
  <c r="T38" i="17"/>
  <c r="D39" i="17"/>
  <c r="J39" i="17"/>
  <c r="C41" i="17"/>
  <c r="B42" i="17"/>
  <c r="O38" i="17" l="1"/>
  <c r="P38" i="17"/>
  <c r="Q38" i="17" s="1"/>
  <c r="V39" i="17"/>
  <c r="AB39" i="17" s="1"/>
  <c r="W39" i="17"/>
  <c r="AC39" i="17"/>
  <c r="AA39" i="17"/>
  <c r="N39" i="17"/>
  <c r="M40" i="17"/>
  <c r="Y38" i="17"/>
  <c r="Z39" i="17"/>
  <c r="X39" i="17"/>
  <c r="R39" i="17"/>
  <c r="S39" i="17"/>
  <c r="U38" i="17"/>
  <c r="J40" i="17"/>
  <c r="D40" i="17"/>
  <c r="C42" i="17"/>
  <c r="B43" i="17"/>
  <c r="AD38" i="17" l="1"/>
  <c r="W40" i="17"/>
  <c r="V40" i="17"/>
  <c r="AB40" i="17" s="1"/>
  <c r="AC40" i="17"/>
  <c r="AA40" i="17"/>
  <c r="N40" i="17"/>
  <c r="O39" i="17"/>
  <c r="P39" i="17"/>
  <c r="Q39" i="17" s="1"/>
  <c r="M41" i="17"/>
  <c r="M42" i="17" s="1"/>
  <c r="Y39" i="17"/>
  <c r="X40" i="17"/>
  <c r="Z40" i="17"/>
  <c r="R40" i="17"/>
  <c r="S40" i="17"/>
  <c r="T39" i="17"/>
  <c r="U39" i="17"/>
  <c r="C43" i="17"/>
  <c r="B44" i="17"/>
  <c r="J41" i="17"/>
  <c r="D41" i="17"/>
  <c r="O40" i="17" l="1"/>
  <c r="P40" i="17"/>
  <c r="Q40" i="17" s="1"/>
  <c r="W41" i="17"/>
  <c r="V41" i="17"/>
  <c r="AB41" i="17" s="1"/>
  <c r="AC41" i="17"/>
  <c r="AA41" i="17"/>
  <c r="N41" i="17"/>
  <c r="AD39" i="17"/>
  <c r="Y40" i="17"/>
  <c r="Z41" i="17"/>
  <c r="X41" i="17"/>
  <c r="R41" i="17"/>
  <c r="S41" i="17"/>
  <c r="T40" i="17"/>
  <c r="U40" i="17"/>
  <c r="D42" i="17"/>
  <c r="M43" i="17" s="1"/>
  <c r="J42" i="17"/>
  <c r="C44" i="17"/>
  <c r="B45" i="17"/>
  <c r="AD40" i="17" l="1"/>
  <c r="N42" i="17"/>
  <c r="O42" i="17" s="1"/>
  <c r="O41" i="17"/>
  <c r="P41" i="17"/>
  <c r="Q41" i="17" s="1"/>
  <c r="Y41" i="17"/>
  <c r="S42" i="17"/>
  <c r="R42" i="17"/>
  <c r="T41" i="17"/>
  <c r="U41" i="17"/>
  <c r="J43" i="17"/>
  <c r="C45" i="17"/>
  <c r="B46" i="17"/>
  <c r="D43" i="17"/>
  <c r="P42" i="17" l="1"/>
  <c r="W43" i="17"/>
  <c r="V43" i="17"/>
  <c r="AB43" i="17" s="1"/>
  <c r="AA43" i="17"/>
  <c r="AC43" i="17"/>
  <c r="N43" i="17"/>
  <c r="AD41" i="17"/>
  <c r="M44" i="17"/>
  <c r="X43" i="17"/>
  <c r="Z43" i="17"/>
  <c r="R43" i="17"/>
  <c r="S43" i="17"/>
  <c r="T43" i="17" s="1"/>
  <c r="T42" i="17"/>
  <c r="U42" i="17"/>
  <c r="D44" i="17"/>
  <c r="J44" i="17"/>
  <c r="C46" i="17"/>
  <c r="B47" i="17"/>
  <c r="W44" i="17" l="1"/>
  <c r="V44" i="17"/>
  <c r="AB44" i="17" s="1"/>
  <c r="AC44" i="17"/>
  <c r="AA44" i="17"/>
  <c r="N44" i="17"/>
  <c r="M45" i="17"/>
  <c r="O43" i="17"/>
  <c r="P43" i="17"/>
  <c r="Q43" i="17" s="1"/>
  <c r="Y43" i="17"/>
  <c r="X44" i="17"/>
  <c r="Z44" i="17"/>
  <c r="S44" i="17"/>
  <c r="R44" i="17"/>
  <c r="U43" i="17"/>
  <c r="J45" i="17"/>
  <c r="D45" i="17"/>
  <c r="C47" i="17"/>
  <c r="B48" i="17"/>
  <c r="AD43" i="17" l="1"/>
  <c r="M46" i="17"/>
  <c r="P44" i="17"/>
  <c r="Q44" i="17" s="1"/>
  <c r="O44" i="17"/>
  <c r="W45" i="17"/>
  <c r="V45" i="17"/>
  <c r="AB45" i="17" s="1"/>
  <c r="AA45" i="17"/>
  <c r="AC45" i="17"/>
  <c r="N45" i="17"/>
  <c r="Y44" i="17"/>
  <c r="Z45" i="17"/>
  <c r="X45" i="17"/>
  <c r="S45" i="17"/>
  <c r="R45" i="17"/>
  <c r="T44" i="17"/>
  <c r="U44" i="17"/>
  <c r="D46" i="17"/>
  <c r="M47" i="17" s="1"/>
  <c r="J46" i="17"/>
  <c r="N46" i="17" s="1"/>
  <c r="B49" i="17"/>
  <c r="C48" i="17"/>
  <c r="AD44" i="17" l="1"/>
  <c r="O45" i="17"/>
  <c r="P45" i="17"/>
  <c r="Q45" i="17" s="1"/>
  <c r="O46" i="17"/>
  <c r="P46" i="17"/>
  <c r="Y45" i="17"/>
  <c r="S46" i="17"/>
  <c r="R46" i="17"/>
  <c r="T45" i="17"/>
  <c r="U45" i="17"/>
  <c r="J47" i="17"/>
  <c r="D47" i="17"/>
  <c r="C49" i="17"/>
  <c r="B50" i="17"/>
  <c r="AD45" i="17" l="1"/>
  <c r="V47" i="17"/>
  <c r="AB47" i="17" s="1"/>
  <c r="W47" i="17"/>
  <c r="AC47" i="17"/>
  <c r="AA47" i="17"/>
  <c r="N47" i="17"/>
  <c r="M48" i="17"/>
  <c r="Z47" i="17"/>
  <c r="X47" i="17"/>
  <c r="R47" i="17"/>
  <c r="S47" i="17"/>
  <c r="T47" i="17" s="1"/>
  <c r="T46" i="17"/>
  <c r="U46" i="17"/>
  <c r="J48" i="17"/>
  <c r="D48" i="17"/>
  <c r="B51" i="17"/>
  <c r="C50" i="17"/>
  <c r="O47" i="17" l="1"/>
  <c r="P47" i="17"/>
  <c r="Q47" i="17" s="1"/>
  <c r="V48" i="17"/>
  <c r="AB48" i="17" s="1"/>
  <c r="W48" i="17"/>
  <c r="AC48" i="17"/>
  <c r="AA48" i="17"/>
  <c r="N48" i="17"/>
  <c r="M49" i="17"/>
  <c r="Y47" i="17"/>
  <c r="X48" i="17"/>
  <c r="Z48" i="17"/>
  <c r="R48" i="17"/>
  <c r="S48" i="17"/>
  <c r="U47" i="17"/>
  <c r="J49" i="17"/>
  <c r="D49" i="17"/>
  <c r="C51" i="17"/>
  <c r="B52" i="17"/>
  <c r="AD47" i="17" l="1"/>
  <c r="O48" i="17"/>
  <c r="P48" i="17"/>
  <c r="Q48" i="17" s="1"/>
  <c r="V49" i="17"/>
  <c r="AB49" i="17" s="1"/>
  <c r="W49" i="17"/>
  <c r="AC49" i="17"/>
  <c r="AA49" i="17"/>
  <c r="N49" i="17"/>
  <c r="M50" i="17"/>
  <c r="Y48" i="17"/>
  <c r="Z49" i="17"/>
  <c r="X49" i="17"/>
  <c r="R49" i="17"/>
  <c r="S49" i="17"/>
  <c r="T48" i="17"/>
  <c r="U48" i="17"/>
  <c r="D50" i="17"/>
  <c r="J50" i="17"/>
  <c r="C52" i="17"/>
  <c r="B53" i="17"/>
  <c r="AD48" i="17" l="1"/>
  <c r="O49" i="17"/>
  <c r="P49" i="17"/>
  <c r="Q49" i="17" s="1"/>
  <c r="W50" i="17"/>
  <c r="V50" i="17"/>
  <c r="AB50" i="17" s="1"/>
  <c r="AC50" i="17"/>
  <c r="AA50" i="17"/>
  <c r="N50" i="17"/>
  <c r="M51" i="17"/>
  <c r="Y49" i="17"/>
  <c r="X50" i="17"/>
  <c r="Z50" i="17"/>
  <c r="R50" i="17"/>
  <c r="S50" i="17"/>
  <c r="T49" i="17"/>
  <c r="U49" i="17"/>
  <c r="J51" i="17"/>
  <c r="D51" i="17"/>
  <c r="M52" i="17" s="1"/>
  <c r="C53" i="17"/>
  <c r="B54" i="17"/>
  <c r="P50" i="17" l="1"/>
  <c r="Q50" i="17" s="1"/>
  <c r="O50" i="17"/>
  <c r="AD49" i="17"/>
  <c r="N51" i="17"/>
  <c r="O51" i="17" s="1"/>
  <c r="Y50" i="17"/>
  <c r="S51" i="17"/>
  <c r="R51" i="17"/>
  <c r="T50" i="17"/>
  <c r="U50" i="17"/>
  <c r="J52" i="17"/>
  <c r="D52" i="17"/>
  <c r="B55" i="17"/>
  <c r="C55" i="17" s="1"/>
  <c r="C54" i="17"/>
  <c r="AD50" i="17" l="1"/>
  <c r="P51" i="17"/>
  <c r="V52" i="17"/>
  <c r="AB52" i="17" s="1"/>
  <c r="W52" i="17"/>
  <c r="AC52" i="17"/>
  <c r="AA52" i="17"/>
  <c r="N52" i="17"/>
  <c r="M53" i="17"/>
  <c r="X52" i="17"/>
  <c r="Z52" i="17"/>
  <c r="R52" i="17"/>
  <c r="S52" i="17"/>
  <c r="T52" i="17" s="1"/>
  <c r="T51" i="17"/>
  <c r="U51" i="17"/>
  <c r="J53" i="17"/>
  <c r="D53" i="17"/>
  <c r="B56" i="17"/>
  <c r="O52" i="17" l="1"/>
  <c r="P52" i="17"/>
  <c r="Q52" i="17" s="1"/>
  <c r="V53" i="17"/>
  <c r="AB53" i="17" s="1"/>
  <c r="W53" i="17"/>
  <c r="AA53" i="17"/>
  <c r="AC53" i="17"/>
  <c r="N53" i="17"/>
  <c r="M54" i="17"/>
  <c r="Y52" i="17"/>
  <c r="X53" i="17"/>
  <c r="Z53" i="17"/>
  <c r="S53" i="17"/>
  <c r="R53" i="17"/>
  <c r="U52" i="17"/>
  <c r="J54" i="17"/>
  <c r="D54" i="17"/>
  <c r="B57" i="17"/>
  <c r="C56" i="17"/>
  <c r="AD52" i="17" l="1"/>
  <c r="O53" i="17"/>
  <c r="P53" i="17"/>
  <c r="Q53" i="17" s="1"/>
  <c r="W54" i="17"/>
  <c r="V54" i="17"/>
  <c r="AB54" i="17" s="1"/>
  <c r="AC54" i="17"/>
  <c r="AA54" i="17"/>
  <c r="N54" i="17"/>
  <c r="M55" i="17"/>
  <c r="Y53" i="17"/>
  <c r="X54" i="17"/>
  <c r="Z54" i="17"/>
  <c r="S54" i="17"/>
  <c r="R54" i="17"/>
  <c r="T53" i="17"/>
  <c r="U53" i="17"/>
  <c r="D55" i="17"/>
  <c r="M56" i="17" s="1"/>
  <c r="J55" i="17"/>
  <c r="C57" i="17"/>
  <c r="B58" i="17"/>
  <c r="AD53" i="17" l="1"/>
  <c r="N55" i="17"/>
  <c r="O55" i="17" s="1"/>
  <c r="P54" i="17"/>
  <c r="Q54" i="17" s="1"/>
  <c r="O54" i="17"/>
  <c r="Y54" i="17"/>
  <c r="T54" i="17"/>
  <c r="S55" i="17"/>
  <c r="R55" i="17"/>
  <c r="U54" i="17"/>
  <c r="J56" i="17"/>
  <c r="C58" i="17"/>
  <c r="B59" i="17"/>
  <c r="B60" i="17" s="1"/>
  <c r="D60" i="17" s="1"/>
  <c r="D56" i="17"/>
  <c r="AD54" i="17" l="1"/>
  <c r="P55" i="17"/>
  <c r="W56" i="17"/>
  <c r="V56" i="17"/>
  <c r="AB56" i="17" s="1"/>
  <c r="AC56" i="17"/>
  <c r="AA56" i="17"/>
  <c r="N56" i="17"/>
  <c r="M57" i="17"/>
  <c r="W51" i="17"/>
  <c r="V51" i="17"/>
  <c r="AB51" i="17" s="1"/>
  <c r="W60" i="17"/>
  <c r="V60" i="17"/>
  <c r="AB60" i="17" s="1"/>
  <c r="AC60" i="17"/>
  <c r="AA60" i="17"/>
  <c r="Q60" i="17"/>
  <c r="Q51" i="17"/>
  <c r="Z60" i="17"/>
  <c r="X60" i="17"/>
  <c r="Z56" i="17"/>
  <c r="X56" i="17"/>
  <c r="R60" i="17"/>
  <c r="S60" i="17"/>
  <c r="S56" i="17"/>
  <c r="R56" i="17"/>
  <c r="T55" i="17"/>
  <c r="U55" i="17"/>
  <c r="Q55" i="17" s="1"/>
  <c r="C59" i="17"/>
  <c r="J57" i="17"/>
  <c r="D57" i="17"/>
  <c r="AC51" i="17" l="1"/>
  <c r="AA51" i="17"/>
  <c r="M58" i="17"/>
  <c r="V57" i="17"/>
  <c r="AB57" i="17" s="1"/>
  <c r="W57" i="17"/>
  <c r="AC57" i="17"/>
  <c r="AA57" i="17"/>
  <c r="N57" i="17"/>
  <c r="P56" i="17"/>
  <c r="Q56" i="17" s="1"/>
  <c r="O56" i="17"/>
  <c r="W12" i="17"/>
  <c r="V12" i="17"/>
  <c r="V16" i="17"/>
  <c r="W16" i="17"/>
  <c r="Q12" i="17"/>
  <c r="Q3" i="17" s="1"/>
  <c r="W20" i="17"/>
  <c r="Q16" i="17"/>
  <c r="V20" i="17"/>
  <c r="AB20" i="17" s="1"/>
  <c r="Q24" i="17"/>
  <c r="V24" i="17"/>
  <c r="Q20" i="17"/>
  <c r="W24" i="17"/>
  <c r="Q29" i="17"/>
  <c r="W29" i="17"/>
  <c r="V29" i="17"/>
  <c r="AB29" i="17" s="1"/>
  <c r="V33" i="17"/>
  <c r="AB33" i="17" s="1"/>
  <c r="W33" i="17"/>
  <c r="Q33" i="17"/>
  <c r="V37" i="17"/>
  <c r="AB37" i="17" s="1"/>
  <c r="Q37" i="17"/>
  <c r="W37" i="17"/>
  <c r="V42" i="17"/>
  <c r="AB42" i="17" s="1"/>
  <c r="Q42" i="17"/>
  <c r="W42" i="17"/>
  <c r="W46" i="17"/>
  <c r="Q46" i="17"/>
  <c r="V46" i="17"/>
  <c r="AB46" i="17" s="1"/>
  <c r="N3" i="17"/>
  <c r="W55" i="17"/>
  <c r="V55" i="17"/>
  <c r="AB55" i="17" s="1"/>
  <c r="AC55" i="17"/>
  <c r="AA55" i="17"/>
  <c r="Y56" i="17"/>
  <c r="Y60" i="17"/>
  <c r="AD60" i="17" s="1"/>
  <c r="Z57" i="17"/>
  <c r="X57" i="17"/>
  <c r="S57" i="17"/>
  <c r="R57" i="17"/>
  <c r="T56" i="17"/>
  <c r="F4" i="17"/>
  <c r="I3" i="17"/>
  <c r="L3" i="17"/>
  <c r="R3" i="17"/>
  <c r="K3" i="17"/>
  <c r="P3" i="17"/>
  <c r="S3" i="17"/>
  <c r="U3" i="17"/>
  <c r="T3" i="17"/>
  <c r="O3" i="17"/>
  <c r="U56" i="17"/>
  <c r="D58" i="17"/>
  <c r="D59" i="17"/>
  <c r="J58" i="17"/>
  <c r="AD56" i="17" l="1"/>
  <c r="AA29" i="17"/>
  <c r="X29" i="17" s="1"/>
  <c r="Y29" i="17" s="1"/>
  <c r="AC29" i="17"/>
  <c r="AA12" i="17"/>
  <c r="AB12" i="17" s="1"/>
  <c r="AC12" i="17"/>
  <c r="AC3" i="17" s="1"/>
  <c r="O57" i="17"/>
  <c r="P57" i="17"/>
  <c r="Q57" i="17" s="1"/>
  <c r="AC37" i="17"/>
  <c r="AA37" i="17"/>
  <c r="X37" i="17" s="1"/>
  <c r="AC20" i="17"/>
  <c r="AA20" i="17"/>
  <c r="AA46" i="17"/>
  <c r="X46" i="17" s="1"/>
  <c r="Y46" i="17" s="1"/>
  <c r="AC46" i="17"/>
  <c r="AC33" i="17"/>
  <c r="AA33" i="17"/>
  <c r="X33" i="17" s="1"/>
  <c r="Z33" i="17" s="1"/>
  <c r="AC24" i="17"/>
  <c r="AA24" i="17"/>
  <c r="AB24" i="17" s="1"/>
  <c r="W58" i="17"/>
  <c r="V58" i="17"/>
  <c r="AB58" i="17" s="1"/>
  <c r="AA58" i="17"/>
  <c r="AC58" i="17"/>
  <c r="N58" i="17"/>
  <c r="M59" i="17"/>
  <c r="AC42" i="17"/>
  <c r="AA42" i="17"/>
  <c r="X42" i="17" s="1"/>
  <c r="AA16" i="17"/>
  <c r="AB16" i="17" s="1"/>
  <c r="AC16" i="17"/>
  <c r="Z46" i="17"/>
  <c r="Y57" i="17"/>
  <c r="X51" i="17"/>
  <c r="X20" i="17"/>
  <c r="Z29" i="17"/>
  <c r="X58" i="17"/>
  <c r="Z58" i="17"/>
  <c r="X12" i="17"/>
  <c r="X55" i="17"/>
  <c r="W3" i="17"/>
  <c r="R58" i="17"/>
  <c r="S58" i="17"/>
  <c r="T57" i="17"/>
  <c r="V3" i="17"/>
  <c r="U57" i="17"/>
  <c r="J59" i="17"/>
  <c r="N59" i="17" s="1"/>
  <c r="O59" i="17" s="1"/>
  <c r="AA3" i="17" l="1"/>
  <c r="AD29" i="17"/>
  <c r="Y33" i="17"/>
  <c r="AD33" i="17" s="1"/>
  <c r="AD57" i="17"/>
  <c r="X24" i="17"/>
  <c r="Y24" i="17" s="1"/>
  <c r="P58" i="17"/>
  <c r="Q58" i="17" s="1"/>
  <c r="O58" i="17"/>
  <c r="O4" i="17" s="1"/>
  <c r="D13" i="14" s="1"/>
  <c r="X16" i="17"/>
  <c r="Y16" i="17" s="1"/>
  <c r="AD46" i="17"/>
  <c r="X3" i="17"/>
  <c r="P59" i="17"/>
  <c r="N4" i="17"/>
  <c r="D8" i="14" s="1"/>
  <c r="Y58" i="17"/>
  <c r="Y12" i="17"/>
  <c r="Z12" i="17"/>
  <c r="Y20" i="17"/>
  <c r="Z20" i="17"/>
  <c r="Z24" i="17"/>
  <c r="Y42" i="17"/>
  <c r="Z42" i="17"/>
  <c r="Y37" i="17"/>
  <c r="Z37" i="17"/>
  <c r="Y51" i="17"/>
  <c r="Z51" i="17"/>
  <c r="Y55" i="17"/>
  <c r="Z55" i="17"/>
  <c r="S59" i="17"/>
  <c r="W59" i="17" s="1"/>
  <c r="R59" i="17"/>
  <c r="R4" i="17" s="1"/>
  <c r="T58" i="17"/>
  <c r="AB3" i="17"/>
  <c r="U58" i="17"/>
  <c r="J60" i="17"/>
  <c r="Z16" i="17" l="1"/>
  <c r="AD16" i="17" s="1"/>
  <c r="Z3" i="17"/>
  <c r="Y3" i="17"/>
  <c r="AD37" i="17"/>
  <c r="AD12" i="17"/>
  <c r="AD51" i="17"/>
  <c r="P4" i="17"/>
  <c r="AD58" i="17"/>
  <c r="AD42" i="17"/>
  <c r="AD55" i="17"/>
  <c r="AD24" i="17"/>
  <c r="AD20" i="17"/>
  <c r="V59" i="17"/>
  <c r="AB59" i="17" s="1"/>
  <c r="AD3" i="17"/>
  <c r="W4" i="17"/>
  <c r="D9" i="14" s="1"/>
  <c r="S4" i="17"/>
  <c r="T60" i="17"/>
  <c r="V4" i="17" l="1"/>
  <c r="D10" i="14" s="1"/>
  <c r="D11" i="14" s="1"/>
  <c r="D12" i="14" s="1"/>
  <c r="U60" i="17"/>
  <c r="T59" i="17" l="1"/>
  <c r="U59" i="17"/>
  <c r="Q59" i="17" s="1"/>
  <c r="Q4" i="17" l="1"/>
  <c r="T4" i="17"/>
  <c r="U4" i="17"/>
  <c r="AA59" i="17" l="1"/>
  <c r="AB4" i="17" s="1"/>
  <c r="AC59" i="17"/>
  <c r="AC4" i="17" s="1"/>
  <c r="X59" i="17" l="1"/>
  <c r="AA4" i="17"/>
  <c r="Z59" i="17"/>
  <c r="Z4" i="17" s="1"/>
  <c r="D15" i="14" s="1"/>
  <c r="Y59" i="17" l="1"/>
  <c r="Y4" i="17" s="1"/>
  <c r="X4" i="17"/>
  <c r="D14" i="14" s="1"/>
  <c r="D16" i="14" s="1"/>
  <c r="D18" i="14" l="1"/>
  <c r="D17" i="14"/>
  <c r="AD59" i="17"/>
  <c r="AD4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<sst xmlns="http://schemas.openxmlformats.org/spreadsheetml/2006/main" count="401" uniqueCount="185">
  <si>
    <t>% EXCEDENTE</t>
  </si>
  <si>
    <t>LIMITE INFERIOR</t>
  </si>
  <si>
    <t>CUOTA FIJA</t>
  </si>
  <si>
    <t>Limite Inferior</t>
  </si>
  <si>
    <t>Subsidio</t>
  </si>
  <si>
    <t>Veces de SMG</t>
  </si>
  <si>
    <t>Grafica de Comportamiento de Ambas Leyes:</t>
  </si>
  <si>
    <t>Ley Actual</t>
  </si>
  <si>
    <t>Reforma</t>
  </si>
  <si>
    <t>En adelante</t>
  </si>
  <si>
    <t>Salario Diario</t>
  </si>
  <si>
    <t>%</t>
  </si>
  <si>
    <t>Cuota Fija</t>
  </si>
  <si>
    <t>Anual</t>
  </si>
  <si>
    <t>ISR Directo</t>
  </si>
  <si>
    <t>Mensual</t>
  </si>
  <si>
    <t>Quincenal</t>
  </si>
  <si>
    <t>Decenal</t>
  </si>
  <si>
    <t>Semanal</t>
  </si>
  <si>
    <t>Quinto Limite Tabla</t>
  </si>
  <si>
    <t>Quinto Limite Subsidio</t>
  </si>
  <si>
    <t>Ingresos de</t>
  </si>
  <si>
    <t>Hasta</t>
  </si>
  <si>
    <t>SMZF</t>
  </si>
  <si>
    <t>SM</t>
  </si>
  <si>
    <t>Salario Mínimo Zona Frontera</t>
  </si>
  <si>
    <t xml:space="preserve">Salarios Mínimo </t>
  </si>
  <si>
    <t>TablaMes</t>
  </si>
  <si>
    <t>SubMes</t>
  </si>
  <si>
    <t>TablaPer</t>
  </si>
  <si>
    <t>SubPer</t>
  </si>
  <si>
    <r>
      <t xml:space="preserve">ISR Retenido de ejercicio anterior: </t>
    </r>
    <r>
      <rPr>
        <sz val="11"/>
        <rFont val="Soberana Sans"/>
      </rPr>
      <t>Es el ISR que le debe retener el patrón al trabajador por el ajuste en el cálculo anual del trabajador correspondiente al ejercicio anterior de acuerdo a lo que establece el artículo 97, cuarto párrafo de la Ley del ISR.</t>
    </r>
  </si>
  <si>
    <t>ISR ajustado por subsidio</t>
  </si>
  <si>
    <t>Genera Flujo Postivo</t>
  </si>
  <si>
    <t>Reintegro de ISR pagado en exceso (siempre que no haya sido enterado al SAT).</t>
  </si>
  <si>
    <t>Subsidio para el empleo (efectivamente entregado al trabajador).</t>
  </si>
  <si>
    <t>OP</t>
  </si>
  <si>
    <t>Op</t>
  </si>
  <si>
    <t>007</t>
  </si>
  <si>
    <t>001</t>
  </si>
  <si>
    <t>002</t>
  </si>
  <si>
    <t>Nuevo</t>
  </si>
  <si>
    <t>Deducción</t>
  </si>
  <si>
    <t>Otros Pagos</t>
  </si>
  <si>
    <t>Cve SAT</t>
  </si>
  <si>
    <t>Tipo Concepto</t>
  </si>
  <si>
    <t>Percepción</t>
  </si>
  <si>
    <t>Varias</t>
  </si>
  <si>
    <t>ISR a Retener</t>
  </si>
  <si>
    <t>Sub a Entregar</t>
  </si>
  <si>
    <t>Ajuste al Subsidio Causado</t>
  </si>
  <si>
    <t>Concepto</t>
  </si>
  <si>
    <t>Ingreso Ordinario</t>
  </si>
  <si>
    <t>Ingreso ExtraOrdinario</t>
  </si>
  <si>
    <t>Ingreso Gravado Acumulable</t>
  </si>
  <si>
    <t>Auxiliar Para Quintos Limites</t>
  </si>
  <si>
    <t>Fecha Pago</t>
  </si>
  <si>
    <t>Sal Diario</t>
  </si>
  <si>
    <t>Dias Pagados</t>
  </si>
  <si>
    <t>Ingreso Extra</t>
  </si>
  <si>
    <t>Ingreso Gravable Sem</t>
  </si>
  <si>
    <t>Ingreso Acum Mes</t>
  </si>
  <si>
    <t>Subsidio Causado</t>
  </si>
  <si>
    <t>Mes Pago</t>
  </si>
  <si>
    <t>Fin de Mes</t>
  </si>
  <si>
    <t>ISR a Retener Mes</t>
  </si>
  <si>
    <t>Sub a Entregar Mes</t>
  </si>
  <si>
    <t>Conceptos</t>
  </si>
  <si>
    <t>Suma de gravados</t>
  </si>
  <si>
    <t>ISR Tarifa</t>
  </si>
  <si>
    <t>ISR Determinado Anual</t>
  </si>
  <si>
    <t>Saldo a Favor</t>
  </si>
  <si>
    <t>Saldo en Contra</t>
  </si>
  <si>
    <t>No. Periodo</t>
  </si>
  <si>
    <t>Neto</t>
  </si>
  <si>
    <t>Tabla fabricada Subsidio anual, solo para efectos de verificación</t>
  </si>
  <si>
    <t>Sub Anual</t>
  </si>
  <si>
    <t>ISR Directo Mes</t>
  </si>
  <si>
    <t>Subsidio Caus Mes</t>
  </si>
  <si>
    <t>Acumulados Periodo</t>
  </si>
  <si>
    <t>Diferencia</t>
  </si>
  <si>
    <t>ISR de Tarifa</t>
  </si>
  <si>
    <t>New 107</t>
  </si>
  <si>
    <t>071</t>
  </si>
  <si>
    <t>Mes</t>
  </si>
  <si>
    <t>Semanas</t>
  </si>
  <si>
    <t>Total Mes</t>
  </si>
  <si>
    <t>Total Anual</t>
  </si>
  <si>
    <t>SalarioMinimo</t>
  </si>
  <si>
    <t>Subsidio efectivamente
entregado que no correspondía</t>
  </si>
  <si>
    <t>New 007</t>
  </si>
  <si>
    <t>New 008</t>
  </si>
  <si>
    <t>ISR por ajuste mensual</t>
  </si>
  <si>
    <t>Subsidio efectivamente entregado que no correspondía</t>
  </si>
  <si>
    <t>New D107</t>
  </si>
  <si>
    <t>D002</t>
  </si>
  <si>
    <t>New OP007</t>
  </si>
  <si>
    <t>D071</t>
  </si>
  <si>
    <t>New OP008</t>
  </si>
  <si>
    <t>OP001</t>
  </si>
  <si>
    <t>Total Percepciones</t>
  </si>
  <si>
    <t>Total Deducciones</t>
  </si>
  <si>
    <t>107</t>
  </si>
  <si>
    <t>Ingreso Neto</t>
  </si>
  <si>
    <t>Total ISR retenido</t>
  </si>
  <si>
    <t>Nodo</t>
  </si>
  <si>
    <t>D107</t>
  </si>
  <si>
    <t>OP 002 subisidio entregado</t>
  </si>
  <si>
    <t>Total Subsidio Causado</t>
  </si>
  <si>
    <t>D104</t>
  </si>
  <si>
    <t>D105</t>
  </si>
  <si>
    <t>D075</t>
  </si>
  <si>
    <t>Reintegro de ISR retenido en exceso</t>
  </si>
  <si>
    <t>Objetivo mensual</t>
  </si>
  <si>
    <t>Subsidio entregado de menos</t>
  </si>
  <si>
    <t>Subsidio Causado de menos</t>
  </si>
  <si>
    <t>Reintegro de ISR retenido de mas</t>
  </si>
  <si>
    <t>OP002</t>
  </si>
  <si>
    <t>Ajuste Sub Causado de menos</t>
  </si>
  <si>
    <t>Ajuste en Subsidio Entregado de mas</t>
  </si>
  <si>
    <t>Ajuste Subs Causado de mas</t>
  </si>
  <si>
    <t>Subs Entregado de menos</t>
  </si>
  <si>
    <t>D032</t>
  </si>
  <si>
    <t>D106</t>
  </si>
  <si>
    <t>Ajustar ISR Retenido de mas</t>
  </si>
  <si>
    <t>Ajustar Subs Causado de menos</t>
  </si>
  <si>
    <t>Ajustar Subs Entregado de menos</t>
  </si>
  <si>
    <t>Clave SAT</t>
  </si>
  <si>
    <t>Ajuste en Subsidio para el empleo</t>
  </si>
  <si>
    <t>Ingreso gravado acumulable</t>
  </si>
  <si>
    <t>Tipo concepto</t>
  </si>
  <si>
    <t>Otro Pago</t>
  </si>
  <si>
    <t>TablaQ</t>
  </si>
  <si>
    <t>SubQ</t>
  </si>
  <si>
    <t>Analisis de Guia de Llenado de Nomina  Actualización 14/10/2019</t>
  </si>
  <si>
    <t>D035</t>
  </si>
  <si>
    <t>Sub a Entregar Def</t>
  </si>
  <si>
    <t>ISR del Periodo</t>
  </si>
  <si>
    <t>ISR Por Ajuste</t>
  </si>
  <si>
    <t>http://omawww.sat.gob.mx/tramitesyservicios/Paginas/documentos/GuiaN%C3%B3mina11102019.pdf</t>
  </si>
  <si>
    <t>Subs Causado Acum Mes</t>
  </si>
  <si>
    <t>Subsidio Causado Def</t>
  </si>
  <si>
    <t>D041</t>
  </si>
  <si>
    <t>D045</t>
  </si>
  <si>
    <t>Si</t>
  </si>
  <si>
    <t>Procedimiento del Cálculo Anual</t>
  </si>
  <si>
    <t>Claves agrupadoras del SAT</t>
  </si>
  <si>
    <t>Conceptos en CONTPAQi ® Nóminas</t>
  </si>
  <si>
    <t>ISR</t>
  </si>
  <si>
    <t>Caso Práctico</t>
  </si>
  <si>
    <t xml:space="preserve">Los cambios en la Guía de llenado del CFDI de Nóminas publicados el 14 de octubre de 2019 incluyen dentro del Apéndice 7 </t>
  </si>
  <si>
    <t>el Procedimiento para el registro del ajuste al subsidio para el empleo cuando se realizan pagos por períodos menores a un mes.</t>
  </si>
  <si>
    <t>https://conocimiento.blob.core.windows.net/conocimiento/2019/Contables/Nominas/CasosPracticos/CP_AjusteSubsidio/index.html#</t>
  </si>
  <si>
    <t>CONTPAQi® pone a tu disposición esta cédula para que puedas revisar distintos escenarios de la aplicación del ajuste al subsidio causado al mes.</t>
  </si>
  <si>
    <t>Consulta aquí los cambios</t>
  </si>
  <si>
    <r>
      <t xml:space="preserve">De acuerdo con la Guía de llenado, estos cambios entrán en vigor a partir del </t>
    </r>
    <r>
      <rPr>
        <b/>
        <sz val="16"/>
        <rFont val="Helv"/>
      </rPr>
      <t>1 de enero del 2020</t>
    </r>
    <r>
      <rPr>
        <sz val="16"/>
        <rFont val="Helv"/>
      </rPr>
      <t>.</t>
    </r>
  </si>
  <si>
    <t>Para conocer mayor detalle sobre los cambios, CONTPAQi® preparó el caso práctico: Ajuste del Subsidio para el empleo Causado</t>
  </si>
  <si>
    <t>Cálculo semanal detallado anual</t>
  </si>
  <si>
    <t>Esta cédula fue elaborada por:</t>
  </si>
  <si>
    <t>Autores</t>
  </si>
  <si>
    <t>María Susana Hernández Valenzuela</t>
  </si>
  <si>
    <t>José Luis Aldana Díaz</t>
  </si>
  <si>
    <t>Jorge Enrique Benitez Barba</t>
  </si>
  <si>
    <t>Kenia Espinoza Rivera</t>
  </si>
  <si>
    <t>Benito Barragán Rangel</t>
  </si>
  <si>
    <t>No</t>
  </si>
  <si>
    <t>ListaOp</t>
  </si>
  <si>
    <t>Base gravada elevada al mes</t>
  </si>
  <si>
    <t>ISR directo elevado al mes</t>
  </si>
  <si>
    <t>Subsidio elevado al mes</t>
  </si>
  <si>
    <t>Realizar Calculo de ISR y Subsidio de acuerdo a Dias Calendario o Dias Pagados</t>
  </si>
  <si>
    <t>ListaOP2</t>
  </si>
  <si>
    <t>Dias de Pago y Septimos Dias del Periodo</t>
  </si>
  <si>
    <t>Dias Calendario del Periodo</t>
  </si>
  <si>
    <r>
      <t xml:space="preserve">Dias Trabajados (Solo Mensual </t>
    </r>
    <r>
      <rPr>
        <sz val="12"/>
        <color rgb="FFFF0000"/>
        <rFont val="Helv"/>
      </rPr>
      <t>SP</t>
    </r>
    <r>
      <rPr>
        <sz val="12"/>
        <rFont val="Helv"/>
      </rPr>
      <t>)</t>
    </r>
  </si>
  <si>
    <t>Realizar los Calculos de ISR y Subsidio Causado de acuerdo a</t>
  </si>
  <si>
    <t>Dias a Tomar Para Elevar/DesElevar</t>
  </si>
  <si>
    <t>¿Permitir exceder el beneficio del "OP-008, Subsidio que no Correspondia" al "D-107 Ajuste al Subsidio Causado"</t>
  </si>
  <si>
    <t>Dias Periodo/Calendario</t>
  </si>
  <si>
    <t>P E R I O D O S</t>
  </si>
  <si>
    <t>ISR a  Retener de menos</t>
  </si>
  <si>
    <t>Ajustar ISR Retenido de menos</t>
  </si>
  <si>
    <t>Ajustar ISR Retenido de más</t>
  </si>
  <si>
    <t>Versión de esta cédula: b</t>
  </si>
  <si>
    <t>Fecha de última actualización: 10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</si>
</sst>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#,##0.00_ ;[Red]\-#,##0.00\ "/>
    <numFmt numFmtId="168" formatCode="#,##0.00000;\-#,##0.00000"/>
    <numFmt numFmtId="169" formatCode="#,##0.000000;\-#,##0.000000"/>
    <numFmt numFmtId="170" formatCode="#,##0.0000000;\-#,##0.0000000"/>
  </numFmts>
  <fonts count="33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Helv"/>
    </font>
    <font>
      <b/>
      <sz val="11"/>
      <name val="Soberana Sans"/>
    </font>
    <font>
      <sz val="11"/>
      <name val="Soberana Sans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FF0000"/>
      <name val="Helv"/>
    </font>
    <font>
      <b/>
      <sz val="12"/>
      <name val="Helv"/>
    </font>
    <font>
      <sz val="12"/>
      <color rgb="FF0070C0"/>
      <name val="Helv"/>
    </font>
    <font>
      <sz val="12"/>
      <color rgb="FF00B050"/>
      <name val="Helv"/>
    </font>
    <font>
      <sz val="12"/>
      <color theme="7" tint="-0.249977111117893"/>
      <name val="Helv"/>
    </font>
    <font>
      <sz val="12"/>
      <color rgb="FFC00000"/>
      <name val="Helv"/>
    </font>
    <font>
      <sz val="12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theme="0"/>
      <name val="Helv"/>
    </font>
    <font>
      <sz val="12"/>
      <color theme="3" tint="0.59999389629810485"/>
      <name val="Helv"/>
    </font>
    <font>
      <sz val="16"/>
      <name val="Helv"/>
    </font>
    <font>
      <b/>
      <sz val="16"/>
      <name val="Helv"/>
    </font>
    <font>
      <u/>
      <sz val="16"/>
      <color rgb="FF0070C0"/>
      <name val="Helv"/>
    </font>
    <font>
      <sz val="14"/>
      <color rgb="FF0070C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1"/>
      <color rgb="FF000000"/>
      <name val="Roboto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39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" fillId="0" borderId="0"/>
    <xf numFmtId="0" fontId="32" fillId="0" borderId="0" applyNumberFormat="0" applyFill="0" applyBorder="0" applyAlignment="0" applyProtection="0"/>
  </cellStyleXfs>
  <cellXfs count="217">
    <xf numFmtId="39" fontId="0" fillId="0" borderId="0" xfId="0"/>
    <xf numFmtId="39" fontId="0" fillId="0" borderId="0" xfId="0" applyProtection="1">
      <protection hidden="1"/>
    </xf>
    <xf numFmtId="39" fontId="0" fillId="0" borderId="1" xfId="0" applyBorder="1" applyAlignment="1">
      <alignment horizontal="center" vertical="center" wrapText="1"/>
    </xf>
    <xf numFmtId="164" fontId="0" fillId="0" borderId="0" xfId="1" applyFont="1" applyProtection="1">
      <protection hidden="1"/>
    </xf>
    <xf numFmtId="39" fontId="3" fillId="0" borderId="0" xfId="0" applyFont="1" applyProtection="1">
      <protection hidden="1"/>
    </xf>
    <xf numFmtId="39" fontId="0" fillId="7" borderId="0" xfId="0" applyFill="1"/>
    <xf numFmtId="39" fontId="3" fillId="0" borderId="0" xfId="0" applyFont="1" applyAlignment="1" applyProtection="1">
      <alignment horizontal="center" vertical="center" wrapText="1"/>
      <protection hidden="1"/>
    </xf>
    <xf numFmtId="14" fontId="10" fillId="0" borderId="3" xfId="5" applyNumberFormat="1" applyFont="1" applyBorder="1" applyAlignment="1">
      <alignment horizontal="center" vertical="center"/>
    </xf>
    <xf numFmtId="39" fontId="6" fillId="0" borderId="0" xfId="0" applyFont="1" applyAlignment="1">
      <alignment horizontal="left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9" fontId="0" fillId="0" borderId="0" xfId="0" applyAlignment="1">
      <alignment horizontal="center" vertical="center"/>
    </xf>
    <xf numFmtId="164" fontId="3" fillId="0" borderId="0" xfId="1" applyProtection="1">
      <protection hidden="1"/>
    </xf>
    <xf numFmtId="164" fontId="3" fillId="0" borderId="0" xfId="1" applyFont="1" applyProtection="1">
      <protection hidden="1"/>
    </xf>
    <xf numFmtId="39" fontId="5" fillId="0" borderId="0" xfId="0" applyFont="1" applyProtection="1">
      <protection hidden="1"/>
    </xf>
    <xf numFmtId="10" fontId="3" fillId="0" borderId="0" xfId="2" applyNumberFormat="1" applyProtection="1">
      <protection hidden="1"/>
    </xf>
    <xf numFmtId="4" fontId="3" fillId="8" borderId="0" xfId="1" applyNumberFormat="1" applyFont="1" applyFill="1" applyBorder="1" applyProtection="1">
      <protection hidden="1"/>
    </xf>
    <xf numFmtId="39" fontId="11" fillId="0" borderId="0" xfId="0" applyFont="1" applyAlignment="1" applyProtection="1">
      <alignment horizontal="center" vertical="center" wrapText="1"/>
      <protection hidden="1"/>
    </xf>
    <xf numFmtId="39" fontId="3" fillId="0" borderId="0" xfId="0" applyFont="1" applyAlignment="1" applyProtection="1">
      <alignment horizontal="right" vertical="top" wrapText="1"/>
      <protection hidden="1"/>
    </xf>
    <xf numFmtId="39" fontId="12" fillId="0" borderId="0" xfId="0" applyFont="1" applyAlignment="1" applyProtection="1">
      <alignment horizontal="center" vertical="center" wrapText="1"/>
      <protection hidden="1"/>
    </xf>
    <xf numFmtId="39" fontId="12" fillId="0" borderId="0" xfId="0" applyFont="1" applyAlignment="1" applyProtection="1">
      <alignment horizontal="center" vertical="top" wrapText="1"/>
      <protection hidden="1"/>
    </xf>
    <xf numFmtId="39" fontId="13" fillId="0" borderId="0" xfId="0" applyFont="1" applyAlignment="1" applyProtection="1">
      <alignment horizontal="right" vertical="top" wrapText="1"/>
      <protection hidden="1"/>
    </xf>
    <xf numFmtId="10" fontId="13" fillId="0" borderId="0" xfId="2" applyNumberFormat="1" applyFont="1" applyAlignment="1" applyProtection="1">
      <alignment horizontal="right" vertical="top" wrapText="1"/>
      <protection hidden="1"/>
    </xf>
    <xf numFmtId="39" fontId="3" fillId="0" borderId="0" xfId="0" applyFont="1" applyAlignment="1" applyProtection="1">
      <alignment horizontal="left"/>
      <protection hidden="1"/>
    </xf>
    <xf numFmtId="39" fontId="3" fillId="2" borderId="0" xfId="0" applyFont="1" applyFill="1" applyProtection="1">
      <protection hidden="1"/>
    </xf>
    <xf numFmtId="164" fontId="3" fillId="3" borderId="0" xfId="1" applyFont="1" applyFill="1" applyAlignment="1" applyProtection="1">
      <alignment horizontal="center"/>
      <protection hidden="1"/>
    </xf>
    <xf numFmtId="39" fontId="3" fillId="0" borderId="15" xfId="0" applyFont="1" applyBorder="1" applyAlignment="1" applyProtection="1">
      <alignment horizontal="center" vertical="center" wrapText="1"/>
      <protection hidden="1"/>
    </xf>
    <xf numFmtId="39" fontId="3" fillId="0" borderId="7" xfId="0" applyFont="1" applyBorder="1" applyProtection="1">
      <protection hidden="1"/>
    </xf>
    <xf numFmtId="39" fontId="3" fillId="0" borderId="8" xfId="0" applyFont="1" applyBorder="1" applyAlignment="1" applyProtection="1">
      <alignment horizontal="center" vertical="center" wrapText="1"/>
      <protection hidden="1"/>
    </xf>
    <xf numFmtId="39" fontId="3" fillId="0" borderId="9" xfId="0" applyFont="1" applyBorder="1" applyAlignment="1" applyProtection="1">
      <alignment horizontal="center" vertical="center" wrapText="1"/>
      <protection hidden="1"/>
    </xf>
    <xf numFmtId="165" fontId="3" fillId="4" borderId="7" xfId="1" applyNumberFormat="1" applyFont="1" applyFill="1" applyBorder="1" applyAlignment="1" applyProtection="1">
      <alignment vertical="center"/>
      <protection hidden="1"/>
    </xf>
    <xf numFmtId="164" fontId="3" fillId="0" borderId="7" xfId="1" applyFont="1" applyBorder="1" applyProtection="1">
      <protection hidden="1"/>
    </xf>
    <xf numFmtId="10" fontId="3" fillId="0" borderId="0" xfId="2" applyNumberFormat="1" applyFont="1" applyAlignment="1" applyProtection="1">
      <alignment horizontal="center"/>
      <protection hidden="1"/>
    </xf>
    <xf numFmtId="39" fontId="3" fillId="0" borderId="10" xfId="0" applyFont="1" applyBorder="1" applyProtection="1">
      <protection hidden="1"/>
    </xf>
    <xf numFmtId="39" fontId="3" fillId="0" borderId="11" xfId="0" applyFont="1" applyBorder="1" applyProtection="1">
      <protection hidden="1"/>
    </xf>
    <xf numFmtId="165" fontId="3" fillId="4" borderId="10" xfId="1" applyNumberFormat="1" applyFont="1" applyFill="1" applyBorder="1" applyAlignment="1" applyProtection="1">
      <alignment vertical="center"/>
      <protection hidden="1"/>
    </xf>
    <xf numFmtId="164" fontId="3" fillId="0" borderId="10" xfId="1" applyFont="1" applyBorder="1" applyProtection="1">
      <protection hidden="1"/>
    </xf>
    <xf numFmtId="39" fontId="3" fillId="0" borderId="4" xfId="0" applyFont="1" applyBorder="1" applyProtection="1">
      <protection hidden="1"/>
    </xf>
    <xf numFmtId="39" fontId="3" fillId="0" borderId="5" xfId="0" applyFont="1" applyBorder="1" applyProtection="1">
      <protection hidden="1"/>
    </xf>
    <xf numFmtId="39" fontId="3" fillId="0" borderId="6" xfId="0" applyFont="1" applyBorder="1" applyProtection="1">
      <protection hidden="1"/>
    </xf>
    <xf numFmtId="165" fontId="3" fillId="4" borderId="4" xfId="1" applyNumberFormat="1" applyFont="1" applyFill="1" applyBorder="1" applyAlignment="1" applyProtection="1">
      <alignment vertical="center"/>
      <protection hidden="1"/>
    </xf>
    <xf numFmtId="164" fontId="3" fillId="0" borderId="4" xfId="1" applyFont="1" applyBorder="1" applyProtection="1">
      <protection hidden="1"/>
    </xf>
    <xf numFmtId="39" fontId="3" fillId="3" borderId="0" xfId="0" applyFont="1" applyFill="1" applyAlignment="1" applyProtection="1">
      <alignment horizontal="center" vertical="center" wrapText="1"/>
      <protection hidden="1"/>
    </xf>
    <xf numFmtId="39" fontId="3" fillId="0" borderId="0" xfId="0" applyFont="1" applyAlignment="1" applyProtection="1">
      <alignment vertical="center"/>
      <protection hidden="1"/>
    </xf>
    <xf numFmtId="37" fontId="3" fillId="4" borderId="7" xfId="0" applyNumberFormat="1" applyFont="1" applyFill="1" applyBorder="1" applyProtection="1">
      <protection hidden="1"/>
    </xf>
    <xf numFmtId="39" fontId="3" fillId="0" borderId="8" xfId="0" applyFont="1" applyBorder="1" applyProtection="1">
      <protection hidden="1"/>
    </xf>
    <xf numFmtId="37" fontId="3" fillId="4" borderId="10" xfId="0" applyNumberFormat="1" applyFont="1" applyFill="1" applyBorder="1" applyProtection="1">
      <protection hidden="1"/>
    </xf>
    <xf numFmtId="9" fontId="3" fillId="0" borderId="0" xfId="2" applyFont="1" applyProtection="1">
      <protection hidden="1"/>
    </xf>
    <xf numFmtId="37" fontId="3" fillId="4" borderId="4" xfId="0" applyNumberFormat="1" applyFont="1" applyFill="1" applyBorder="1" applyProtection="1">
      <protection hidden="1"/>
    </xf>
    <xf numFmtId="39" fontId="3" fillId="5" borderId="0" xfId="0" applyFont="1" applyFill="1" applyProtection="1">
      <protection hidden="1"/>
    </xf>
    <xf numFmtId="39" fontId="0" fillId="7" borderId="0" xfId="0" applyFill="1" applyProtection="1">
      <protection hidden="1"/>
    </xf>
    <xf numFmtId="39" fontId="20" fillId="0" borderId="0" xfId="0" applyFont="1" applyProtection="1">
      <protection hidden="1"/>
    </xf>
    <xf numFmtId="4" fontId="3" fillId="8" borderId="0" xfId="0" applyNumberFormat="1" applyFont="1" applyFill="1" applyProtection="1">
      <protection hidden="1"/>
    </xf>
    <xf numFmtId="4" fontId="11" fillId="8" borderId="0" xfId="0" applyNumberFormat="1" applyFont="1" applyFill="1" applyProtection="1">
      <protection hidden="1"/>
    </xf>
    <xf numFmtId="37" fontId="5" fillId="0" borderId="0" xfId="0" applyNumberFormat="1" applyFont="1" applyProtection="1">
      <protection hidden="1"/>
    </xf>
    <xf numFmtId="4" fontId="3" fillId="0" borderId="0" xfId="1" applyNumberFormat="1" applyFont="1" applyFill="1" applyBorder="1" applyProtection="1">
      <protection hidden="1"/>
    </xf>
    <xf numFmtId="39" fontId="3" fillId="0" borderId="12" xfId="0" applyFont="1" applyBorder="1" applyAlignment="1" applyProtection="1">
      <alignment horizontal="center"/>
      <protection hidden="1"/>
    </xf>
    <xf numFmtId="4" fontId="3" fillId="8" borderId="23" xfId="1" applyNumberFormat="1" applyFont="1" applyFill="1" applyBorder="1" applyProtection="1">
      <protection hidden="1"/>
    </xf>
    <xf numFmtId="39" fontId="3" fillId="0" borderId="18" xfId="0" applyFont="1" applyBorder="1" applyAlignment="1" applyProtection="1">
      <alignment horizontal="center"/>
      <protection hidden="1"/>
    </xf>
    <xf numFmtId="4" fontId="3" fillId="8" borderId="20" xfId="1" applyNumberFormat="1" applyFont="1" applyFill="1" applyBorder="1" applyProtection="1">
      <protection hidden="1"/>
    </xf>
    <xf numFmtId="4" fontId="3" fillId="8" borderId="21" xfId="1" applyNumberFormat="1" applyFont="1" applyFill="1" applyBorder="1" applyProtection="1">
      <protection hidden="1"/>
    </xf>
    <xf numFmtId="39" fontId="20" fillId="0" borderId="22" xfId="0" applyFont="1" applyBorder="1" applyProtection="1">
      <protection hidden="1"/>
    </xf>
    <xf numFmtId="39" fontId="3" fillId="0" borderId="0" xfId="0" quotePrefix="1" applyFont="1" applyProtection="1">
      <protection hidden="1"/>
    </xf>
    <xf numFmtId="10" fontId="3" fillId="0" borderId="0" xfId="2" applyNumberFormat="1" applyFont="1" applyBorder="1" applyAlignment="1" applyProtection="1">
      <alignment horizontal="right"/>
      <protection hidden="1"/>
    </xf>
    <xf numFmtId="39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0" xfId="1" applyFont="1" applyFill="1" applyProtection="1">
      <protection hidden="1"/>
    </xf>
    <xf numFmtId="164" fontId="3" fillId="0" borderId="1" xfId="1" applyFont="1" applyFill="1" applyBorder="1" applyProtection="1">
      <protection hidden="1"/>
    </xf>
    <xf numFmtId="164" fontId="3" fillId="0" borderId="8" xfId="1" applyFont="1" applyFill="1" applyBorder="1" applyProtection="1">
      <protection hidden="1"/>
    </xf>
    <xf numFmtId="10" fontId="3" fillId="0" borderId="9" xfId="2" applyNumberFormat="1" applyFont="1" applyFill="1" applyBorder="1" applyAlignment="1" applyProtection="1">
      <alignment horizontal="right"/>
      <protection hidden="1"/>
    </xf>
    <xf numFmtId="164" fontId="3" fillId="0" borderId="0" xfId="1" applyFont="1" applyFill="1" applyBorder="1" applyProtection="1">
      <protection hidden="1"/>
    </xf>
    <xf numFmtId="10" fontId="3" fillId="0" borderId="11" xfId="2" applyNumberFormat="1" applyFont="1" applyFill="1" applyBorder="1" applyAlignment="1" applyProtection="1">
      <alignment horizontal="right"/>
      <protection hidden="1"/>
    </xf>
    <xf numFmtId="164" fontId="3" fillId="0" borderId="5" xfId="1" applyFont="1" applyFill="1" applyBorder="1" applyProtection="1">
      <protection hidden="1"/>
    </xf>
    <xf numFmtId="10" fontId="3" fillId="0" borderId="6" xfId="2" applyNumberFormat="1" applyFont="1" applyFill="1" applyBorder="1" applyAlignment="1" applyProtection="1">
      <alignment horizontal="right"/>
      <protection hidden="1"/>
    </xf>
    <xf numFmtId="39" fontId="3" fillId="0" borderId="9" xfId="0" applyFont="1" applyBorder="1" applyProtection="1">
      <protection hidden="1"/>
    </xf>
    <xf numFmtId="168" fontId="3" fillId="0" borderId="0" xfId="0" applyNumberFormat="1" applyFont="1" applyProtection="1">
      <protection hidden="1"/>
    </xf>
    <xf numFmtId="169" fontId="3" fillId="0" borderId="0" xfId="0" applyNumberFormat="1" applyFont="1" applyProtection="1">
      <protection hidden="1"/>
    </xf>
    <xf numFmtId="170" fontId="3" fillId="0" borderId="0" xfId="0" applyNumberFormat="1" applyFont="1" applyProtection="1">
      <protection hidden="1"/>
    </xf>
    <xf numFmtId="39" fontId="3" fillId="8" borderId="12" xfId="0" applyFont="1" applyFill="1" applyBorder="1" applyAlignment="1" applyProtection="1">
      <alignment horizontal="center"/>
      <protection hidden="1"/>
    </xf>
    <xf numFmtId="39" fontId="3" fillId="8" borderId="2" xfId="0" applyFont="1" applyFill="1" applyBorder="1" applyAlignment="1" applyProtection="1">
      <alignment horizontal="center"/>
      <protection hidden="1"/>
    </xf>
    <xf numFmtId="39" fontId="11" fillId="0" borderId="13" xfId="0" applyFont="1" applyBorder="1" applyAlignment="1" applyProtection="1">
      <alignment horizontal="center" vertical="center"/>
      <protection hidden="1"/>
    </xf>
    <xf numFmtId="4" fontId="11" fillId="0" borderId="17" xfId="0" applyNumberFormat="1" applyFont="1" applyBorder="1" applyAlignment="1" applyProtection="1">
      <alignment horizontal="center" vertical="center"/>
      <protection hidden="1"/>
    </xf>
    <xf numFmtId="4" fontId="11" fillId="8" borderId="25" xfId="1" applyNumberFormat="1" applyFont="1" applyFill="1" applyBorder="1" applyAlignment="1" applyProtection="1">
      <alignment horizontal="center" vertical="center" wrapText="1"/>
      <protection hidden="1"/>
    </xf>
    <xf numFmtId="4" fontId="11" fillId="8" borderId="14" xfId="1" applyNumberFormat="1" applyFont="1" applyFill="1" applyBorder="1" applyAlignment="1" applyProtection="1">
      <alignment horizontal="center" vertical="center"/>
      <protection hidden="1"/>
    </xf>
    <xf numFmtId="4" fontId="3" fillId="8" borderId="12" xfId="1" applyNumberFormat="1" applyFont="1" applyFill="1" applyBorder="1" applyProtection="1">
      <protection hidden="1"/>
    </xf>
    <xf numFmtId="4" fontId="3" fillId="8" borderId="18" xfId="1" applyNumberFormat="1" applyFont="1" applyFill="1" applyBorder="1" applyProtection="1">
      <protection hidden="1"/>
    </xf>
    <xf numFmtId="4" fontId="11" fillId="8" borderId="18" xfId="0" applyNumberFormat="1" applyFont="1" applyFill="1" applyBorder="1" applyProtection="1">
      <protection hidden="1"/>
    </xf>
    <xf numFmtId="4" fontId="11" fillId="8" borderId="19" xfId="0" applyNumberFormat="1" applyFont="1" applyFill="1" applyBorder="1" applyProtection="1">
      <protection hidden="1"/>
    </xf>
    <xf numFmtId="4" fontId="11" fillId="8" borderId="12" xfId="0" applyNumberFormat="1" applyFont="1" applyFill="1" applyBorder="1" applyProtection="1">
      <protection hidden="1"/>
    </xf>
    <xf numFmtId="39" fontId="20" fillId="0" borderId="2" xfId="0" applyFont="1" applyBorder="1" applyProtection="1">
      <protection hidden="1"/>
    </xf>
    <xf numFmtId="39" fontId="22" fillId="0" borderId="22" xfId="0" applyFont="1" applyBorder="1" applyProtection="1">
      <protection hidden="1"/>
    </xf>
    <xf numFmtId="4" fontId="21" fillId="8" borderId="22" xfId="1" applyNumberFormat="1" applyFont="1" applyFill="1" applyBorder="1" applyProtection="1">
      <protection hidden="1"/>
    </xf>
    <xf numFmtId="4" fontId="11" fillId="8" borderId="2" xfId="0" applyNumberFormat="1" applyFont="1" applyFill="1" applyBorder="1" applyProtection="1">
      <protection hidden="1"/>
    </xf>
    <xf numFmtId="4" fontId="3" fillId="8" borderId="21" xfId="0" applyNumberFormat="1" applyFont="1" applyFill="1" applyBorder="1" applyAlignment="1" applyProtection="1">
      <alignment horizontal="left"/>
      <protection hidden="1"/>
    </xf>
    <xf numFmtId="4" fontId="3" fillId="8" borderId="23" xfId="0" applyNumberFormat="1" applyFont="1" applyFill="1" applyBorder="1" applyAlignment="1" applyProtection="1">
      <alignment horizontal="left"/>
      <protection hidden="1"/>
    </xf>
    <xf numFmtId="39" fontId="3" fillId="0" borderId="20" xfId="0" applyFont="1" applyBorder="1" applyProtection="1">
      <protection hidden="1"/>
    </xf>
    <xf numFmtId="39" fontId="3" fillId="0" borderId="21" xfId="0" applyFont="1" applyBorder="1" applyProtection="1">
      <protection hidden="1"/>
    </xf>
    <xf numFmtId="164" fontId="5" fillId="0" borderId="21" xfId="1" applyFont="1" applyBorder="1" applyProtection="1">
      <protection hidden="1"/>
    </xf>
    <xf numFmtId="164" fontId="5" fillId="0" borderId="23" xfId="1" applyFont="1" applyBorder="1" applyProtection="1">
      <protection hidden="1"/>
    </xf>
    <xf numFmtId="39" fontId="3" fillId="0" borderId="0" xfId="0" applyFont="1" applyAlignment="1" applyProtection="1">
      <alignment horizontal="right"/>
      <protection hidden="1"/>
    </xf>
    <xf numFmtId="39" fontId="3" fillId="0" borderId="18" xfId="0" applyFont="1" applyBorder="1" applyAlignment="1" applyProtection="1">
      <alignment horizontal="left"/>
      <protection hidden="1"/>
    </xf>
    <xf numFmtId="39" fontId="3" fillId="0" borderId="19" xfId="0" applyFont="1" applyBorder="1" applyAlignment="1" applyProtection="1">
      <alignment horizontal="right"/>
      <protection hidden="1"/>
    </xf>
    <xf numFmtId="39" fontId="3" fillId="0" borderId="12" xfId="0" applyFont="1" applyBorder="1" applyAlignment="1" applyProtection="1">
      <alignment horizontal="left"/>
      <protection hidden="1"/>
    </xf>
    <xf numFmtId="39" fontId="3" fillId="0" borderId="21" xfId="0" applyFont="1" applyBorder="1" applyAlignment="1" applyProtection="1">
      <alignment horizontal="right"/>
      <protection hidden="1"/>
    </xf>
    <xf numFmtId="39" fontId="3" fillId="0" borderId="22" xfId="0" applyFont="1" applyBorder="1" applyAlignment="1" applyProtection="1">
      <alignment horizontal="right"/>
      <protection hidden="1"/>
    </xf>
    <xf numFmtId="39" fontId="3" fillId="0" borderId="23" xfId="0" applyFont="1" applyBorder="1" applyAlignment="1" applyProtection="1">
      <alignment horizontal="right"/>
      <protection hidden="1"/>
    </xf>
    <xf numFmtId="39" fontId="3" fillId="0" borderId="20" xfId="0" applyFont="1" applyBorder="1" applyAlignment="1" applyProtection="1">
      <alignment horizontal="right"/>
      <protection hidden="1"/>
    </xf>
    <xf numFmtId="39" fontId="24" fillId="0" borderId="0" xfId="0" applyFont="1" applyProtection="1">
      <protection hidden="1"/>
    </xf>
    <xf numFmtId="4" fontId="3" fillId="0" borderId="22" xfId="1" applyNumberFormat="1" applyFont="1" applyFill="1" applyBorder="1" applyProtection="1">
      <protection hidden="1"/>
    </xf>
    <xf numFmtId="39" fontId="28" fillId="0" borderId="0" xfId="0" applyFont="1" applyProtection="1">
      <protection hidden="1"/>
    </xf>
    <xf numFmtId="39" fontId="20" fillId="0" borderId="1" xfId="0" applyFont="1" applyBorder="1" applyAlignment="1" applyProtection="1">
      <alignment horizontal="center" vertical="center"/>
      <protection hidden="1"/>
    </xf>
    <xf numFmtId="37" fontId="0" fillId="0" borderId="0" xfId="0" applyNumberFormat="1" applyProtection="1">
      <protection hidden="1"/>
    </xf>
    <xf numFmtId="39" fontId="20" fillId="0" borderId="1" xfId="0" applyFont="1" applyBorder="1" applyProtection="1">
      <protection hidden="1"/>
    </xf>
    <xf numFmtId="39" fontId="20" fillId="0" borderId="24" xfId="0" applyFont="1" applyBorder="1" applyProtection="1">
      <protection hidden="1"/>
    </xf>
    <xf numFmtId="39" fontId="20" fillId="0" borderId="15" xfId="0" applyFont="1" applyBorder="1" applyProtection="1">
      <protection hidden="1"/>
    </xf>
    <xf numFmtId="39" fontId="20" fillId="0" borderId="9" xfId="0" applyFont="1" applyBorder="1" applyProtection="1">
      <protection hidden="1"/>
    </xf>
    <xf numFmtId="39" fontId="20" fillId="0" borderId="16" xfId="0" applyFont="1" applyBorder="1" applyProtection="1">
      <protection hidden="1"/>
    </xf>
    <xf numFmtId="39" fontId="20" fillId="0" borderId="11" xfId="0" applyFont="1" applyBorder="1" applyProtection="1">
      <protection hidden="1"/>
    </xf>
    <xf numFmtId="39" fontId="20" fillId="11" borderId="16" xfId="0" applyFont="1" applyFill="1" applyBorder="1" applyProtection="1">
      <protection hidden="1"/>
    </xf>
    <xf numFmtId="39" fontId="20" fillId="11" borderId="16" xfId="0" quotePrefix="1" applyFont="1" applyFill="1" applyBorder="1" applyProtection="1">
      <protection hidden="1"/>
    </xf>
    <xf numFmtId="39" fontId="20" fillId="0" borderId="3" xfId="0" applyFont="1" applyBorder="1" applyProtection="1">
      <protection hidden="1"/>
    </xf>
    <xf numFmtId="39" fontId="20" fillId="0" borderId="6" xfId="0" applyFont="1" applyBorder="1" applyProtection="1">
      <protection hidden="1"/>
    </xf>
    <xf numFmtId="39" fontId="20" fillId="0" borderId="15" xfId="0" quotePrefix="1" applyFont="1" applyBorder="1" applyProtection="1">
      <protection hidden="1"/>
    </xf>
    <xf numFmtId="39" fontId="0" fillId="0" borderId="0" xfId="0" applyAlignment="1" applyProtection="1">
      <alignment horizontal="center"/>
      <protection hidden="1"/>
    </xf>
    <xf numFmtId="39" fontId="23" fillId="0" borderId="0" xfId="0" applyFont="1" applyProtection="1">
      <protection hidden="1"/>
    </xf>
    <xf numFmtId="39" fontId="15" fillId="0" borderId="0" xfId="0" applyFont="1" applyProtection="1">
      <protection hidden="1"/>
    </xf>
    <xf numFmtId="39" fontId="14" fillId="0" borderId="0" xfId="0" applyFont="1" applyProtection="1">
      <protection hidden="1"/>
    </xf>
    <xf numFmtId="39" fontId="0" fillId="0" borderId="0" xfId="0" applyAlignment="1" applyProtection="1">
      <alignment horizontal="center" vertical="center" wrapText="1"/>
      <protection hidden="1"/>
    </xf>
    <xf numFmtId="39" fontId="15" fillId="0" borderId="0" xfId="0" applyFont="1" applyAlignment="1" applyProtection="1">
      <alignment horizontal="left" vertical="center" wrapText="1"/>
      <protection hidden="1"/>
    </xf>
    <xf numFmtId="167" fontId="0" fillId="0" borderId="0" xfId="0" applyNumberFormat="1" applyProtection="1">
      <protection hidden="1"/>
    </xf>
    <xf numFmtId="39" fontId="0" fillId="0" borderId="0" xfId="0" quotePrefix="1" applyAlignment="1" applyProtection="1">
      <alignment horizontal="center"/>
      <protection hidden="1"/>
    </xf>
    <xf numFmtId="39" fontId="0" fillId="6" borderId="0" xfId="0" applyFill="1" applyProtection="1">
      <protection locked="0"/>
    </xf>
    <xf numFmtId="37" fontId="0" fillId="6" borderId="0" xfId="0" applyNumberFormat="1" applyFill="1" applyProtection="1">
      <protection locked="0"/>
    </xf>
    <xf numFmtId="39" fontId="0" fillId="0" borderId="18" xfId="0" applyBorder="1" applyAlignment="1" applyProtection="1">
      <alignment vertical="center"/>
      <protection hidden="1"/>
    </xf>
    <xf numFmtId="39" fontId="0" fillId="0" borderId="19" xfId="0" applyBorder="1" applyProtection="1">
      <protection hidden="1"/>
    </xf>
    <xf numFmtId="39" fontId="18" fillId="10" borderId="19" xfId="0" applyFont="1" applyFill="1" applyBorder="1" applyAlignment="1" applyProtection="1">
      <alignment horizontal="center" vertical="center" wrapText="1"/>
      <protection hidden="1"/>
    </xf>
    <xf numFmtId="39" fontId="17" fillId="10" borderId="19" xfId="0" applyFont="1" applyFill="1" applyBorder="1" applyAlignment="1" applyProtection="1">
      <alignment horizontal="center" vertical="center" wrapText="1"/>
      <protection hidden="1"/>
    </xf>
    <xf numFmtId="39" fontId="16" fillId="10" borderId="19" xfId="0" applyFont="1" applyFill="1" applyBorder="1" applyAlignment="1" applyProtection="1">
      <alignment horizontal="center" vertical="center" wrapText="1"/>
      <protection hidden="1"/>
    </xf>
    <xf numFmtId="39" fontId="19" fillId="10" borderId="19" xfId="0" applyFont="1" applyFill="1" applyBorder="1" applyAlignment="1" applyProtection="1">
      <alignment horizontal="center" vertical="center" wrapText="1"/>
      <protection hidden="1"/>
    </xf>
    <xf numFmtId="39" fontId="18" fillId="12" borderId="19" xfId="0" applyFont="1" applyFill="1" applyBorder="1" applyAlignment="1" applyProtection="1">
      <alignment horizontal="center" vertical="center" wrapText="1"/>
      <protection hidden="1"/>
    </xf>
    <xf numFmtId="39" fontId="17" fillId="12" borderId="19" xfId="0" applyFont="1" applyFill="1" applyBorder="1" applyAlignment="1" applyProtection="1">
      <alignment horizontal="center" vertical="center" wrapText="1"/>
      <protection hidden="1"/>
    </xf>
    <xf numFmtId="39" fontId="16" fillId="12" borderId="19" xfId="0" applyFont="1" applyFill="1" applyBorder="1" applyAlignment="1" applyProtection="1">
      <alignment horizontal="center" vertical="center" wrapText="1"/>
      <protection hidden="1"/>
    </xf>
    <xf numFmtId="39" fontId="19" fillId="12" borderId="19" xfId="0" applyFont="1" applyFill="1" applyBorder="1" applyAlignment="1" applyProtection="1">
      <alignment horizontal="center" vertical="center" wrapText="1"/>
      <protection hidden="1"/>
    </xf>
    <xf numFmtId="39" fontId="17" fillId="13" borderId="19" xfId="0" applyFont="1" applyFill="1" applyBorder="1" applyAlignment="1" applyProtection="1">
      <alignment horizontal="center" vertical="center" wrapText="1"/>
      <protection hidden="1"/>
    </xf>
    <xf numFmtId="39" fontId="16" fillId="13" borderId="19" xfId="0" applyFont="1" applyFill="1" applyBorder="1" applyAlignment="1" applyProtection="1">
      <alignment horizontal="center" vertical="center" wrapText="1"/>
      <protection hidden="1"/>
    </xf>
    <xf numFmtId="39" fontId="19" fillId="13" borderId="19" xfId="0" applyFont="1" applyFill="1" applyBorder="1" applyAlignment="1" applyProtection="1">
      <alignment horizontal="center" vertical="center" wrapText="1"/>
      <protection hidden="1"/>
    </xf>
    <xf numFmtId="39" fontId="0" fillId="0" borderId="20" xfId="0" applyBorder="1" applyProtection="1">
      <protection hidden="1"/>
    </xf>
    <xf numFmtId="39" fontId="0" fillId="6" borderId="0" xfId="0" applyFill="1" applyAlignment="1" applyProtection="1">
      <alignment horizontal="center"/>
      <protection locked="0"/>
    </xf>
    <xf numFmtId="39" fontId="3" fillId="8" borderId="18" xfId="0" applyFont="1" applyFill="1" applyBorder="1" applyAlignment="1" applyProtection="1">
      <alignment horizontal="center" vertical="center" wrapText="1"/>
      <protection hidden="1"/>
    </xf>
    <xf numFmtId="39" fontId="3" fillId="8" borderId="20" xfId="0" applyFont="1" applyFill="1" applyBorder="1" applyAlignment="1" applyProtection="1">
      <alignment horizontal="left" vertical="center" wrapText="1"/>
      <protection hidden="1"/>
    </xf>
    <xf numFmtId="39" fontId="3" fillId="8" borderId="12" xfId="0" applyFont="1" applyFill="1" applyBorder="1" applyAlignment="1" applyProtection="1">
      <alignment horizontal="center" vertical="center" wrapText="1"/>
      <protection hidden="1"/>
    </xf>
    <xf numFmtId="39" fontId="3" fillId="8" borderId="21" xfId="0" applyFont="1" applyFill="1" applyBorder="1" applyAlignment="1" applyProtection="1">
      <alignment horizontal="left" vertical="center" wrapText="1"/>
      <protection hidden="1"/>
    </xf>
    <xf numFmtId="39" fontId="3" fillId="8" borderId="2" xfId="0" quotePrefix="1" applyFont="1" applyFill="1" applyBorder="1" applyAlignment="1" applyProtection="1">
      <alignment horizontal="center" vertical="center" wrapText="1"/>
      <protection hidden="1"/>
    </xf>
    <xf numFmtId="39" fontId="3" fillId="8" borderId="23" xfId="0" applyFont="1" applyFill="1" applyBorder="1" applyAlignment="1" applyProtection="1">
      <alignment horizontal="left" vertical="center" wrapText="1"/>
      <protection hidden="1"/>
    </xf>
    <xf numFmtId="39" fontId="3" fillId="6" borderId="0" xfId="0" applyFont="1" applyFill="1" applyAlignment="1" applyProtection="1">
      <alignment horizontal="right"/>
      <protection locked="0"/>
    </xf>
    <xf numFmtId="39" fontId="3" fillId="0" borderId="0" xfId="0" applyFont="1" applyAlignment="1" applyProtection="1">
      <alignment horizontal="right" vertical="center" wrapText="1"/>
      <protection hidden="1"/>
    </xf>
    <xf numFmtId="39" fontId="0" fillId="0" borderId="13" xfId="0" applyBorder="1" applyProtection="1">
      <protection hidden="1"/>
    </xf>
    <xf numFmtId="39" fontId="0" fillId="0" borderId="17" xfId="0" applyBorder="1" applyProtection="1">
      <protection hidden="1"/>
    </xf>
    <xf numFmtId="39" fontId="0" fillId="0" borderId="17" xfId="0" applyBorder="1" applyAlignment="1" applyProtection="1">
      <alignment horizontal="center"/>
      <protection hidden="1"/>
    </xf>
    <xf numFmtId="39" fontId="0" fillId="0" borderId="14" xfId="0" applyBorder="1" applyAlignment="1" applyProtection="1">
      <alignment horizontal="center"/>
      <protection hidden="1"/>
    </xf>
    <xf numFmtId="4" fontId="3" fillId="8" borderId="0" xfId="0" applyNumberFormat="1" applyFont="1" applyFill="1" applyAlignment="1" applyProtection="1">
      <alignment vertical="center"/>
      <protection hidden="1"/>
    </xf>
    <xf numFmtId="39" fontId="0" fillId="0" borderId="0" xfId="0" applyAlignment="1" applyProtection="1">
      <alignment vertical="center"/>
      <protection hidden="1"/>
    </xf>
    <xf numFmtId="39" fontId="26" fillId="0" borderId="0" xfId="0" applyFont="1" applyProtection="1">
      <protection hidden="1"/>
    </xf>
    <xf numFmtId="39" fontId="0" fillId="9" borderId="18" xfId="0" applyFill="1" applyBorder="1" applyAlignment="1" applyProtection="1">
      <alignment horizontal="center" vertical="center" wrapText="1"/>
      <protection hidden="1"/>
    </xf>
    <xf numFmtId="39" fontId="0" fillId="9" borderId="19" xfId="0" applyFill="1" applyBorder="1" applyAlignment="1" applyProtection="1">
      <alignment horizontal="center" vertical="center" wrapText="1"/>
      <protection hidden="1"/>
    </xf>
    <xf numFmtId="39" fontId="0" fillId="9" borderId="20" xfId="0" applyFill="1" applyBorder="1" applyAlignment="1" applyProtection="1">
      <alignment horizontal="center" vertical="center" wrapText="1"/>
      <protection hidden="1"/>
    </xf>
    <xf numFmtId="39" fontId="0" fillId="0" borderId="1" xfId="0" applyBorder="1" applyProtection="1">
      <protection hidden="1"/>
    </xf>
    <xf numFmtId="166" fontId="0" fillId="6" borderId="1" xfId="0" applyNumberFormat="1" applyFill="1" applyBorder="1" applyProtection="1">
      <protection locked="0"/>
    </xf>
    <xf numFmtId="39" fontId="0" fillId="0" borderId="1" xfId="0" applyBorder="1" applyAlignment="1" applyProtection="1">
      <alignment horizontal="center"/>
      <protection hidden="1"/>
    </xf>
    <xf numFmtId="39" fontId="0" fillId="6" borderId="1" xfId="0" applyFill="1" applyBorder="1" applyProtection="1">
      <protection locked="0"/>
    </xf>
    <xf numFmtId="166" fontId="0" fillId="0" borderId="0" xfId="0" applyNumberFormat="1" applyProtection="1">
      <protection locked="0"/>
    </xf>
    <xf numFmtId="39" fontId="0" fillId="0" borderId="0" xfId="0" applyProtection="1">
      <protection locked="0"/>
    </xf>
    <xf numFmtId="39" fontId="25" fillId="0" borderId="0" xfId="0" applyFont="1"/>
    <xf numFmtId="39" fontId="26" fillId="0" borderId="0" xfId="0" applyFont="1"/>
    <xf numFmtId="39" fontId="29" fillId="0" borderId="0" xfId="0" applyFont="1" applyProtection="1">
      <protection hidden="1"/>
    </xf>
    <xf numFmtId="4" fontId="3" fillId="0" borderId="19" xfId="1" applyNumberFormat="1" applyFont="1" applyBorder="1" applyProtection="1">
      <protection hidden="1"/>
    </xf>
    <xf numFmtId="4" fontId="3" fillId="0" borderId="0" xfId="1" applyNumberFormat="1" applyFont="1" applyBorder="1" applyProtection="1">
      <protection hidden="1"/>
    </xf>
    <xf numFmtId="4" fontId="11" fillId="8" borderId="19" xfId="0" applyNumberFormat="1" applyFont="1" applyFill="1" applyBorder="1" applyAlignment="1" applyProtection="1">
      <alignment vertical="center"/>
      <protection hidden="1"/>
    </xf>
    <xf numFmtId="4" fontId="11" fillId="8" borderId="20" xfId="1" applyNumberFormat="1" applyFont="1" applyFill="1" applyBorder="1" applyAlignment="1" applyProtection="1">
      <alignment horizontal="center" vertical="center" wrapText="1"/>
      <protection hidden="1"/>
    </xf>
    <xf numFmtId="39" fontId="3" fillId="0" borderId="2" xfId="0" applyFont="1" applyBorder="1" applyAlignment="1" applyProtection="1">
      <alignment horizontal="left" vertical="center"/>
      <protection hidden="1"/>
    </xf>
    <xf numFmtId="39" fontId="0" fillId="6" borderId="0" xfId="0" applyFill="1" applyProtection="1">
      <protection hidden="1"/>
    </xf>
    <xf numFmtId="0" fontId="11" fillId="8" borderId="0" xfId="1" applyNumberFormat="1" applyFont="1" applyFill="1" applyBorder="1" applyAlignment="1" applyProtection="1">
      <alignment horizontal="center" vertical="center"/>
      <protection hidden="1"/>
    </xf>
    <xf numFmtId="37" fontId="3" fillId="0" borderId="26" xfId="0" applyNumberFormat="1" applyFont="1" applyBorder="1" applyAlignment="1" applyProtection="1">
      <alignment horizontal="centerContinuous"/>
      <protection hidden="1"/>
    </xf>
    <xf numFmtId="37" fontId="3" fillId="0" borderId="24" xfId="0" applyNumberFormat="1" applyFont="1" applyBorder="1" applyAlignment="1" applyProtection="1">
      <alignment horizontal="centerContinuous"/>
      <protection hidden="1"/>
    </xf>
    <xf numFmtId="37" fontId="3" fillId="0" borderId="27" xfId="0" applyNumberFormat="1" applyFont="1" applyBorder="1" applyAlignment="1" applyProtection="1">
      <alignment horizontal="centerContinuous"/>
      <protection hidden="1"/>
    </xf>
    <xf numFmtId="4" fontId="3" fillId="0" borderId="20" xfId="0" applyNumberFormat="1" applyFont="1" applyBorder="1" applyProtection="1">
      <protection hidden="1"/>
    </xf>
    <xf numFmtId="4" fontId="3" fillId="0" borderId="21" xfId="0" applyNumberFormat="1" applyFont="1" applyBorder="1" applyProtection="1">
      <protection hidden="1"/>
    </xf>
    <xf numFmtId="4" fontId="3" fillId="0" borderId="21" xfId="0" applyNumberFormat="1" applyFont="1" applyBorder="1" applyAlignment="1" applyProtection="1">
      <alignment horizontal="left"/>
      <protection hidden="1"/>
    </xf>
    <xf numFmtId="39" fontId="3" fillId="0" borderId="28" xfId="0" applyFont="1" applyBorder="1" applyAlignment="1" applyProtection="1">
      <alignment horizontal="center"/>
      <protection hidden="1"/>
    </xf>
    <xf numFmtId="4" fontId="3" fillId="0" borderId="29" xfId="0" applyNumberFormat="1" applyFont="1" applyBorder="1" applyAlignment="1" applyProtection="1">
      <alignment horizontal="left"/>
      <protection hidden="1"/>
    </xf>
    <xf numFmtId="39" fontId="3" fillId="0" borderId="2" xfId="0" applyFont="1" applyBorder="1" applyAlignment="1" applyProtection="1">
      <alignment horizontal="center"/>
      <protection hidden="1"/>
    </xf>
    <xf numFmtId="4" fontId="3" fillId="0" borderId="23" xfId="0" applyNumberFormat="1" applyFont="1" applyBorder="1" applyAlignment="1" applyProtection="1">
      <alignment horizontal="left"/>
      <protection hidden="1"/>
    </xf>
    <xf numFmtId="4" fontId="3" fillId="0" borderId="22" xfId="1" applyNumberFormat="1" applyFont="1" applyBorder="1" applyProtection="1">
      <protection hidden="1"/>
    </xf>
    <xf numFmtId="4" fontId="3" fillId="8" borderId="19" xfId="1" applyNumberFormat="1" applyFont="1" applyFill="1" applyBorder="1" applyProtection="1">
      <protection hidden="1"/>
    </xf>
    <xf numFmtId="4" fontId="3" fillId="8" borderId="22" xfId="1" applyNumberFormat="1" applyFont="1" applyFill="1" applyBorder="1" applyProtection="1">
      <protection hidden="1"/>
    </xf>
    <xf numFmtId="39" fontId="3" fillId="6" borderId="19" xfId="0" applyFont="1" applyFill="1" applyBorder="1" applyAlignment="1" applyProtection="1">
      <alignment horizontal="right"/>
      <protection locked="0"/>
    </xf>
    <xf numFmtId="4" fontId="3" fillId="0" borderId="20" xfId="1" applyNumberFormat="1" applyFont="1" applyBorder="1" applyAlignment="1" applyProtection="1">
      <alignment horizontal="right"/>
      <protection hidden="1"/>
    </xf>
    <xf numFmtId="4" fontId="3" fillId="0" borderId="21" xfId="1" applyNumberFormat="1" applyFont="1" applyBorder="1" applyAlignment="1" applyProtection="1">
      <alignment horizontal="right"/>
      <protection hidden="1"/>
    </xf>
    <xf numFmtId="4" fontId="3" fillId="8" borderId="12" xfId="0" applyNumberFormat="1" applyFont="1" applyFill="1" applyBorder="1" applyProtection="1">
      <protection hidden="1"/>
    </xf>
    <xf numFmtId="164" fontId="3" fillId="8" borderId="12" xfId="1" applyFont="1" applyFill="1" applyBorder="1" applyProtection="1">
      <protection hidden="1"/>
    </xf>
    <xf numFmtId="4" fontId="3" fillId="8" borderId="2" xfId="0" applyNumberFormat="1" applyFont="1" applyFill="1" applyBorder="1" applyProtection="1">
      <protection hidden="1"/>
    </xf>
    <xf numFmtId="39" fontId="3" fillId="0" borderId="2" xfId="0" applyFont="1" applyBorder="1" applyAlignment="1" applyProtection="1">
      <alignment horizontal="left"/>
      <protection hidden="1"/>
    </xf>
    <xf numFmtId="4" fontId="3" fillId="6" borderId="0" xfId="0" applyNumberFormat="1" applyFont="1" applyFill="1" applyProtection="1">
      <protection locked="0"/>
    </xf>
    <xf numFmtId="39" fontId="30" fillId="0" borderId="0" xfId="0" applyFont="1" applyAlignment="1">
      <alignment horizontal="right" vertical="center" wrapText="1"/>
    </xf>
    <xf numFmtId="39" fontId="30" fillId="0" borderId="30" xfId="0" applyFont="1" applyBorder="1" applyAlignment="1">
      <alignment horizontal="right" vertical="center" wrapText="1"/>
    </xf>
    <xf numFmtId="0" fontId="31" fillId="14" borderId="0" xfId="6" applyFont="1" applyFill="1" applyAlignment="1">
      <alignment horizontal="right" vertical="top" wrapText="1"/>
    </xf>
    <xf numFmtId="4" fontId="31" fillId="14" borderId="0" xfId="6" applyNumberFormat="1" applyFont="1" applyFill="1" applyAlignment="1">
      <alignment horizontal="right" vertical="top" wrapText="1"/>
    </xf>
    <xf numFmtId="39" fontId="27" fillId="0" borderId="0" xfId="0" applyFont="1" applyAlignment="1" applyProtection="1">
      <alignment horizontal="left"/>
      <protection locked="0"/>
    </xf>
    <xf numFmtId="39" fontId="6" fillId="0" borderId="0" xfId="0" applyFont="1" applyAlignment="1">
      <alignment horizontal="left" vertical="center" wrapText="1"/>
    </xf>
    <xf numFmtId="39" fontId="8" fillId="7" borderId="4" xfId="0" applyFont="1" applyFill="1" applyBorder="1" applyAlignment="1">
      <alignment horizontal="center" vertical="center" wrapText="1"/>
    </xf>
    <xf numFmtId="39" fontId="8" fillId="7" borderId="5" xfId="0" applyFont="1" applyFill="1" applyBorder="1" applyAlignment="1">
      <alignment horizontal="center" vertical="center" wrapText="1"/>
    </xf>
    <xf numFmtId="39" fontId="8" fillId="7" borderId="6" xfId="0" applyFont="1" applyFill="1" applyBorder="1" applyAlignment="1">
      <alignment horizontal="center" vertical="center" wrapText="1"/>
    </xf>
    <xf numFmtId="39" fontId="8" fillId="0" borderId="7" xfId="0" applyFont="1" applyBorder="1" applyAlignment="1">
      <alignment horizontal="left" vertical="center" wrapText="1"/>
    </xf>
    <xf numFmtId="39" fontId="8" fillId="0" borderId="8" xfId="0" applyFont="1" applyBorder="1" applyAlignment="1">
      <alignment horizontal="left" vertical="center" wrapText="1"/>
    </xf>
    <xf numFmtId="39" fontId="8" fillId="0" borderId="9" xfId="0" applyFont="1" applyBorder="1" applyAlignment="1">
      <alignment horizontal="left" vertical="center" wrapText="1"/>
    </xf>
    <xf numFmtId="39" fontId="8" fillId="0" borderId="10" xfId="0" applyFont="1" applyBorder="1" applyAlignment="1">
      <alignment horizontal="left" vertical="center" wrapText="1"/>
    </xf>
    <xf numFmtId="39" fontId="8" fillId="0" borderId="0" xfId="0" applyFont="1" applyAlignment="1">
      <alignment horizontal="left" vertical="center" wrapText="1"/>
    </xf>
    <xf numFmtId="39" fontId="8" fillId="0" borderId="11" xfId="0" applyFont="1" applyBorder="1" applyAlignment="1">
      <alignment horizontal="left" vertical="center" wrapText="1"/>
    </xf>
  </cellXfs>
  <cellStyles count="8">
    <cellStyle name="Hipervínculo 2" xfId="7" xr:uid="{6D587ECD-C976-456B-84AE-EF31F9767189}"/>
    <cellStyle name="Millares" xfId="1" builtinId="3"/>
    <cellStyle name="Millares 2" xfId="4" xr:uid="{00000000-0005-0000-0000-000002000000}"/>
    <cellStyle name="Normal" xfId="0" builtinId="0"/>
    <cellStyle name="Normal 2" xfId="3" xr:uid="{00000000-0005-0000-0000-000004000000}"/>
    <cellStyle name="Normal 2 2" xfId="5" xr:uid="{B00B040E-4662-49F2-96A7-B84370DF1CAB}"/>
    <cellStyle name="Normal 3" xfId="6" xr:uid="{9F64B2F1-AF94-486C-965E-4363A658CE6A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FDFD3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228600</xdr:colOff>
      <xdr:row>0</xdr:row>
      <xdr:rowOff>0</xdr:rowOff>
    </xdr:to>
    <xdr:sp macro="" textlink="">
      <xdr:nvSpPr>
        <xdr:cNvPr id="4187" name="Line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ShapeType="1"/>
        </xdr:cNvSpPr>
      </xdr:nvSpPr>
      <xdr:spPr bwMode="auto">
        <a:xfrm>
          <a:off x="5686425" y="0"/>
          <a:ext cx="2981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266700</xdr:colOff>
      <xdr:row>0</xdr:row>
      <xdr:rowOff>0</xdr:rowOff>
    </xdr:from>
    <xdr:to>
      <xdr:col>9</xdr:col>
      <xdr:colOff>190500</xdr:colOff>
      <xdr:row>0</xdr:row>
      <xdr:rowOff>0</xdr:rowOff>
    </xdr:to>
    <xdr:sp macro="" textlink="">
      <xdr:nvSpPr>
        <xdr:cNvPr id="4188" name="Line 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ShapeType="1"/>
        </xdr:cNvSpPr>
      </xdr:nvSpPr>
      <xdr:spPr bwMode="auto">
        <a:xfrm>
          <a:off x="5734050" y="0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424815</xdr:colOff>
      <xdr:row>0</xdr:row>
      <xdr:rowOff>0</xdr:rowOff>
    </xdr:from>
    <xdr:to>
      <xdr:col>11</xdr:col>
      <xdr:colOff>234</xdr:colOff>
      <xdr:row>0</xdr:row>
      <xdr:rowOff>0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8858250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MX" sz="1200" b="0" i="0" strike="noStrike">
              <a:solidFill>
                <a:srgbClr val="000000"/>
              </a:solidFill>
              <a:latin typeface="Helv"/>
            </a:rPr>
            <a:t>Estas cantidades son ejemplos, modifiquelos de acuerdo a su empresa</a:t>
          </a:r>
        </a:p>
        <a:p>
          <a:pPr algn="l" rtl="0">
            <a:defRPr sz="1000"/>
          </a:pPr>
          <a:endParaRPr lang="es-MX" sz="12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1</xdr:row>
      <xdr:rowOff>88900</xdr:rowOff>
    </xdr:from>
    <xdr:to>
      <xdr:col>8</xdr:col>
      <xdr:colOff>0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3CCD67-BC99-9244-BAAE-3BEDCE2C2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0" y="292100"/>
          <a:ext cx="3505200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773340</xdr:colOff>
      <xdr:row>13</xdr:row>
      <xdr:rowOff>95583</xdr:rowOff>
    </xdr:from>
    <xdr:to>
      <xdr:col>8</xdr:col>
      <xdr:colOff>360591</xdr:colOff>
      <xdr:row>22</xdr:row>
      <xdr:rowOff>56712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313582-B8F7-4145-89D6-066B84BBF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554" y="2826083"/>
          <a:ext cx="7043966" cy="1645345"/>
        </a:xfrm>
        <a:prstGeom prst="rect">
          <a:avLst/>
        </a:prstGeom>
      </xdr:spPr>
    </xdr:pic>
    <xdr:clientData/>
  </xdr:twoCellAnchor>
  <xdr:twoCellAnchor editAs="oneCell">
    <xdr:from>
      <xdr:col>8</xdr:col>
      <xdr:colOff>290945</xdr:colOff>
      <xdr:row>0</xdr:row>
      <xdr:rowOff>88900</xdr:rowOff>
    </xdr:from>
    <xdr:to>
      <xdr:col>10</xdr:col>
      <xdr:colOff>450225</xdr:colOff>
      <xdr:row>2</xdr:row>
      <xdr:rowOff>148800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965AD-3DEA-4B33-908C-267EEE1F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0495" y="88900"/>
          <a:ext cx="1810280" cy="453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971778</xdr:colOff>
      <xdr:row>14</xdr:row>
      <xdr:rowOff>7938</xdr:rowOff>
    </xdr:from>
    <xdr:to>
      <xdr:col>8</xdr:col>
      <xdr:colOff>709841</xdr:colOff>
      <xdr:row>22</xdr:row>
      <xdr:rowOff>64976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377041-D2B0-46D9-8289-1C6E2C15C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653" y="2143126"/>
          <a:ext cx="7032626" cy="16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290945</xdr:colOff>
      <xdr:row>0</xdr:row>
      <xdr:rowOff>88900</xdr:rowOff>
    </xdr:from>
    <xdr:to>
      <xdr:col>9</xdr:col>
      <xdr:colOff>450225</xdr:colOff>
      <xdr:row>2</xdr:row>
      <xdr:rowOff>148800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92C2C8-E007-46C7-BA50-65CD271FD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0545" y="88900"/>
          <a:ext cx="1810280" cy="453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606651</xdr:colOff>
      <xdr:row>14</xdr:row>
      <xdr:rowOff>0</xdr:rowOff>
    </xdr:from>
    <xdr:to>
      <xdr:col>8</xdr:col>
      <xdr:colOff>646339</xdr:colOff>
      <xdr:row>22</xdr:row>
      <xdr:rowOff>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68E058-0FD8-4A61-9E47-C9BBCC66C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526" y="2936875"/>
          <a:ext cx="7032626" cy="16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290945</xdr:colOff>
      <xdr:row>0</xdr:row>
      <xdr:rowOff>88900</xdr:rowOff>
    </xdr:from>
    <xdr:to>
      <xdr:col>7</xdr:col>
      <xdr:colOff>450225</xdr:colOff>
      <xdr:row>2</xdr:row>
      <xdr:rowOff>148800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CA8CC-3F7F-42A8-A79E-F55C51DD5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2645" y="88900"/>
          <a:ext cx="1810280" cy="453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448100</xdr:colOff>
      <xdr:row>16</xdr:row>
      <xdr:rowOff>18142</xdr:rowOff>
    </xdr:from>
    <xdr:to>
      <xdr:col>18</xdr:col>
      <xdr:colOff>129268</xdr:colOff>
      <xdr:row>27</xdr:row>
      <xdr:rowOff>90353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9B738-5F15-417F-858F-D64716443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1171" y="4408713"/>
          <a:ext cx="9714168" cy="22674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70556</xdr:colOff>
      <xdr:row>0</xdr:row>
      <xdr:rowOff>67713</xdr:rowOff>
    </xdr:from>
    <xdr:to>
      <xdr:col>4</xdr:col>
      <xdr:colOff>14670</xdr:colOff>
      <xdr:row>8</xdr:row>
      <xdr:rowOff>35278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160258-87C1-4CE5-9A98-E812D393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6" y="67713"/>
          <a:ext cx="6752725" cy="157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nocimiento.blob.core.windows.net/conocimiento/2019/Contables/Nominas/CasosPracticos/CP_AjusteSubsidio/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showGridLines="0" zoomScale="75" workbookViewId="0">
      <selection activeCell="A5" sqref="A5"/>
    </sheetView>
  </sheetViews>
  <sheetFormatPr baseColWidth="10" defaultColWidth="10.7109375" defaultRowHeight="16"/>
  <cols>
    <col min="1" max="1" width="5.85546875" customWidth="1"/>
  </cols>
  <sheetData>
    <row r="1" spans="1:3">
      <c r="A1" t="s">
        <v>6</v>
      </c>
    </row>
    <row r="4" spans="1:3" ht="53.25" customHeight="1">
      <c r="A4" s="2" t="s">
        <v>5</v>
      </c>
      <c r="B4" s="2" t="s">
        <v>7</v>
      </c>
      <c r="C4" s="2" t="s">
        <v>8</v>
      </c>
    </row>
    <row r="5" spans="1:3">
      <c r="A5" t="e">
        <f>+#REF!</f>
        <v>#REF!</v>
      </c>
      <c r="B5" t="e">
        <f>+#REF!</f>
        <v>#REF!</v>
      </c>
      <c r="C5" t="e">
        <f>+#REF!</f>
        <v>#REF!</v>
      </c>
    </row>
    <row r="6" spans="1:3">
      <c r="A6" t="e">
        <f>+#REF!</f>
        <v>#REF!</v>
      </c>
      <c r="B6" t="e">
        <f>+#REF!</f>
        <v>#REF!</v>
      </c>
      <c r="C6" t="e">
        <f>+#REF!</f>
        <v>#REF!</v>
      </c>
    </row>
    <row r="7" spans="1:3">
      <c r="A7" t="e">
        <f>+#REF!</f>
        <v>#REF!</v>
      </c>
      <c r="B7" t="e">
        <f>+#REF!</f>
        <v>#REF!</v>
      </c>
      <c r="C7" t="e">
        <f>+#REF!</f>
        <v>#REF!</v>
      </c>
    </row>
    <row r="8" spans="1:3">
      <c r="A8" t="e">
        <f>+#REF!</f>
        <v>#REF!</v>
      </c>
      <c r="B8" t="e">
        <f>+#REF!</f>
        <v>#REF!</v>
      </c>
      <c r="C8" t="e">
        <f>+#REF!</f>
        <v>#REF!</v>
      </c>
    </row>
    <row r="9" spans="1:3">
      <c r="A9" t="e">
        <f>+#REF!</f>
        <v>#REF!</v>
      </c>
      <c r="B9" t="e">
        <f>+#REF!</f>
        <v>#REF!</v>
      </c>
      <c r="C9" t="e">
        <f>+#REF!</f>
        <v>#REF!</v>
      </c>
    </row>
    <row r="10" spans="1:3">
      <c r="A10" t="e">
        <f>+#REF!</f>
        <v>#REF!</v>
      </c>
      <c r="B10" t="e">
        <f>+#REF!</f>
        <v>#REF!</v>
      </c>
      <c r="C10" t="e">
        <f>+#REF!</f>
        <v>#REF!</v>
      </c>
    </row>
    <row r="11" spans="1:3">
      <c r="A11" t="e">
        <f>+#REF!</f>
        <v>#REF!</v>
      </c>
      <c r="B11" t="e">
        <f>+#REF!</f>
        <v>#REF!</v>
      </c>
      <c r="C11" t="e">
        <f>+#REF!</f>
        <v>#REF!</v>
      </c>
    </row>
    <row r="12" spans="1:3">
      <c r="A12" t="e">
        <f>+#REF!</f>
        <v>#REF!</v>
      </c>
      <c r="B12" t="e">
        <f>+#REF!</f>
        <v>#REF!</v>
      </c>
      <c r="C12" t="e">
        <f>+#REF!</f>
        <v>#REF!</v>
      </c>
    </row>
    <row r="13" spans="1:3">
      <c r="A13" t="e">
        <f>+#REF!</f>
        <v>#REF!</v>
      </c>
      <c r="B13" t="e">
        <f>+#REF!</f>
        <v>#REF!</v>
      </c>
      <c r="C13" t="e">
        <f>+#REF!</f>
        <v>#REF!</v>
      </c>
    </row>
    <row r="14" spans="1:3">
      <c r="A14" t="e">
        <f>+#REF!</f>
        <v>#REF!</v>
      </c>
      <c r="B14" t="e">
        <f>+#REF!</f>
        <v>#REF!</v>
      </c>
      <c r="C14" t="e">
        <f>+#REF!</f>
        <v>#REF!</v>
      </c>
    </row>
    <row r="15" spans="1:3">
      <c r="A15" t="e">
        <f>+#REF!</f>
        <v>#REF!</v>
      </c>
      <c r="B15" t="e">
        <f>+#REF!</f>
        <v>#REF!</v>
      </c>
      <c r="C15" t="e">
        <f>+#REF!</f>
        <v>#REF!</v>
      </c>
    </row>
    <row r="16" spans="1:3">
      <c r="A16" t="e">
        <f>+#REF!</f>
        <v>#REF!</v>
      </c>
      <c r="B16" t="e">
        <f>+#REF!</f>
        <v>#REF!</v>
      </c>
      <c r="C16" t="e">
        <f>+#REF!</f>
        <v>#REF!</v>
      </c>
    </row>
    <row r="17" spans="1:3">
      <c r="A17" t="e">
        <f>+#REF!</f>
        <v>#REF!</v>
      </c>
      <c r="B17" t="e">
        <f>+#REF!</f>
        <v>#REF!</v>
      </c>
      <c r="C17" t="e">
        <f>+#REF!</f>
        <v>#REF!</v>
      </c>
    </row>
    <row r="18" spans="1:3">
      <c r="A18" t="e">
        <f>+#REF!</f>
        <v>#REF!</v>
      </c>
      <c r="B18" t="e">
        <f>+#REF!</f>
        <v>#REF!</v>
      </c>
      <c r="C18" t="e">
        <f>+#REF!</f>
        <v>#REF!</v>
      </c>
    </row>
    <row r="19" spans="1:3">
      <c r="A19" t="e">
        <f>+#REF!</f>
        <v>#REF!</v>
      </c>
      <c r="B19" t="e">
        <f>+#REF!</f>
        <v>#REF!</v>
      </c>
      <c r="C19" t="e">
        <f>+#REF!</f>
        <v>#REF!</v>
      </c>
    </row>
    <row r="20" spans="1:3">
      <c r="A20" t="e">
        <f>+#REF!</f>
        <v>#REF!</v>
      </c>
      <c r="B20" t="e">
        <f>+#REF!</f>
        <v>#REF!</v>
      </c>
      <c r="C20" t="e">
        <f>+#REF!</f>
        <v>#REF!</v>
      </c>
    </row>
    <row r="21" spans="1:3">
      <c r="A21" t="e">
        <f>+#REF!</f>
        <v>#REF!</v>
      </c>
      <c r="B21" t="e">
        <f>+#REF!</f>
        <v>#REF!</v>
      </c>
      <c r="C21" t="e">
        <f>+#REF!</f>
        <v>#REF!</v>
      </c>
    </row>
    <row r="22" spans="1:3">
      <c r="A22" t="e">
        <f>+#REF!</f>
        <v>#REF!</v>
      </c>
      <c r="B22" t="e">
        <f>+#REF!</f>
        <v>#REF!</v>
      </c>
      <c r="C22" t="e">
        <f>+#REF!</f>
        <v>#REF!</v>
      </c>
    </row>
    <row r="23" spans="1:3">
      <c r="A23" t="e">
        <f>+#REF!</f>
        <v>#REF!</v>
      </c>
      <c r="B23" t="e">
        <f>+#REF!</f>
        <v>#REF!</v>
      </c>
      <c r="C23" t="e">
        <f>+#REF!</f>
        <v>#REF!</v>
      </c>
    </row>
    <row r="24" spans="1:3">
      <c r="A24" t="e">
        <f>+#REF!</f>
        <v>#REF!</v>
      </c>
      <c r="B24" t="e">
        <f>+#REF!</f>
        <v>#REF!</v>
      </c>
      <c r="C24" t="e">
        <f>+#REF!</f>
        <v>#REF!</v>
      </c>
    </row>
    <row r="25" spans="1:3">
      <c r="A25" t="e">
        <f>+#REF!</f>
        <v>#REF!</v>
      </c>
      <c r="B25" t="e">
        <f>+#REF!</f>
        <v>#REF!</v>
      </c>
      <c r="C25" t="e">
        <f>+#REF!</f>
        <v>#REF!</v>
      </c>
    </row>
    <row r="26" spans="1:3">
      <c r="A26" t="e">
        <f>+#REF!</f>
        <v>#REF!</v>
      </c>
      <c r="B26" t="e">
        <f>+#REF!</f>
        <v>#REF!</v>
      </c>
      <c r="C26" t="e">
        <f>+#REF!</f>
        <v>#REF!</v>
      </c>
    </row>
    <row r="27" spans="1:3">
      <c r="A27" t="e">
        <f>+#REF!</f>
        <v>#REF!</v>
      </c>
      <c r="B27" t="e">
        <f>+#REF!</f>
        <v>#REF!</v>
      </c>
      <c r="C27" t="e">
        <f>+#REF!</f>
        <v>#REF!</v>
      </c>
    </row>
    <row r="28" spans="1:3">
      <c r="A28" t="e">
        <f>+#REF!</f>
        <v>#REF!</v>
      </c>
      <c r="B28" t="e">
        <f>+#REF!</f>
        <v>#REF!</v>
      </c>
      <c r="C28" t="e">
        <f>+#REF!</f>
        <v>#REF!</v>
      </c>
    </row>
    <row r="29" spans="1:3">
      <c r="A29" t="e">
        <f>+#REF!</f>
        <v>#REF!</v>
      </c>
      <c r="B29" t="e">
        <f>+#REF!</f>
        <v>#REF!</v>
      </c>
      <c r="C29" t="e">
        <f>+#REF!</f>
        <v>#REF!</v>
      </c>
    </row>
    <row r="30" spans="1:3">
      <c r="A30" t="e">
        <f>+#REF!</f>
        <v>#REF!</v>
      </c>
      <c r="B30" t="e">
        <f>+#REF!</f>
        <v>#REF!</v>
      </c>
      <c r="C30" t="e">
        <f>+#REF!</f>
        <v>#REF!</v>
      </c>
    </row>
    <row r="31" spans="1:3">
      <c r="A31" t="e">
        <f>+#REF!</f>
        <v>#REF!</v>
      </c>
      <c r="B31" t="e">
        <f>+#REF!</f>
        <v>#REF!</v>
      </c>
      <c r="C31" t="e">
        <f>+#REF!</f>
        <v>#REF!</v>
      </c>
    </row>
    <row r="32" spans="1:3">
      <c r="A32" t="e">
        <f>+#REF!</f>
        <v>#REF!</v>
      </c>
      <c r="B32" t="e">
        <f>+#REF!</f>
        <v>#REF!</v>
      </c>
      <c r="C32" t="e">
        <f>+#REF!</f>
        <v>#REF!</v>
      </c>
    </row>
    <row r="33" spans="1:3">
      <c r="A33" t="e">
        <f>+#REF!</f>
        <v>#REF!</v>
      </c>
      <c r="B33" t="e">
        <f>+#REF!</f>
        <v>#REF!</v>
      </c>
      <c r="C33" t="e">
        <f>+#REF!</f>
        <v>#REF!</v>
      </c>
    </row>
    <row r="34" spans="1:3">
      <c r="A34" t="e">
        <f>+#REF!</f>
        <v>#REF!</v>
      </c>
      <c r="B34" t="e">
        <f>+#REF!</f>
        <v>#REF!</v>
      </c>
      <c r="C34" t="e">
        <f>+#REF!</f>
        <v>#REF!</v>
      </c>
    </row>
    <row r="35" spans="1:3">
      <c r="A35" t="e">
        <f>+#REF!</f>
        <v>#REF!</v>
      </c>
      <c r="B35" t="e">
        <f>+#REF!</f>
        <v>#REF!</v>
      </c>
      <c r="C35" t="e">
        <f>+#REF!</f>
        <v>#REF!</v>
      </c>
    </row>
    <row r="36" spans="1:3">
      <c r="A36" t="e">
        <f>+#REF!</f>
        <v>#REF!</v>
      </c>
      <c r="B36" t="e">
        <f>+#REF!</f>
        <v>#REF!</v>
      </c>
      <c r="C36" t="e">
        <f>+#REF!</f>
        <v>#REF!</v>
      </c>
    </row>
    <row r="37" spans="1:3">
      <c r="A37" t="e">
        <f>+#REF!</f>
        <v>#REF!</v>
      </c>
      <c r="B37" t="e">
        <f>+#REF!</f>
        <v>#REF!</v>
      </c>
      <c r="C37" t="e">
        <f>+#REF!</f>
        <v>#REF!</v>
      </c>
    </row>
    <row r="38" spans="1:3">
      <c r="A38" t="e">
        <f>+#REF!</f>
        <v>#REF!</v>
      </c>
      <c r="B38" t="e">
        <f>+#REF!</f>
        <v>#REF!</v>
      </c>
      <c r="C38" t="e">
        <f>+#REF!</f>
        <v>#REF!</v>
      </c>
    </row>
  </sheetData>
  <customSheetViews>
    <customSheetView guid="{B421B96C-BE4E-4B6F-9142-FF1AE2A373A8}" scale="75" showGridLines="0" fitToPage="1" state="hidden">
      <selection activeCell="A5" sqref="A5"/>
      <pageMargins left="0.75" right="0.75" top="1" bottom="1" header="0" footer="0"/>
      <printOptions horizontalCentered="1" verticalCentered="1"/>
      <pageSetup scale="61" orientation="portrait" horizontalDpi="300" verticalDpi="300" r:id="rId1"/>
      <headerFooter alignWithMargins="0"/>
    </customSheetView>
  </customSheetViews>
  <phoneticPr fontId="4" type="noConversion"/>
  <printOptions horizontalCentered="1" verticalCentered="1"/>
  <pageMargins left="0.75" right="0.75" top="1" bottom="1" header="0" footer="0"/>
  <pageSetup scale="61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7117-B110-2B42-8065-9C8D07DC16A5}">
  <dimension ref="A9:M38"/>
  <sheetViews>
    <sheetView showGridLines="0" zoomScale="60" zoomScaleNormal="60" workbookViewId="0">
      <selection activeCell="A24" sqref="A24:M24"/>
    </sheetView>
  </sheetViews>
  <sheetFormatPr baseColWidth="10" defaultColWidth="10.7109375" defaultRowHeight="16"/>
  <sheetData>
    <row r="9" spans="1:10" ht="21">
      <c r="A9" s="171" t="s">
        <v>153</v>
      </c>
    </row>
    <row r="10" spans="1:10" ht="21">
      <c r="A10" s="171"/>
    </row>
    <row r="11" spans="1:10" ht="21">
      <c r="A11" s="171" t="s">
        <v>150</v>
      </c>
    </row>
    <row r="12" spans="1:10" ht="21">
      <c r="A12" s="171" t="s">
        <v>151</v>
      </c>
    </row>
    <row r="13" spans="1:10" ht="21">
      <c r="A13" s="171"/>
    </row>
    <row r="14" spans="1:10" ht="21">
      <c r="A14" s="172" t="s">
        <v>154</v>
      </c>
    </row>
    <row r="15" spans="1:10" ht="21">
      <c r="A15" s="171"/>
    </row>
    <row r="16" spans="1:10" ht="21">
      <c r="A16" s="206" t="s">
        <v>139</v>
      </c>
      <c r="B16" s="206"/>
      <c r="C16" s="206"/>
      <c r="D16" s="206"/>
      <c r="E16" s="206"/>
      <c r="F16" s="206"/>
      <c r="G16" s="206"/>
      <c r="H16" s="206"/>
      <c r="I16" s="206"/>
      <c r="J16" s="206"/>
    </row>
    <row r="18" spans="1:13" ht="21">
      <c r="A18" s="171" t="s">
        <v>155</v>
      </c>
    </row>
    <row r="20" spans="1:13" ht="21">
      <c r="A20" s="171" t="s">
        <v>156</v>
      </c>
    </row>
    <row r="21" spans="1:13" ht="21">
      <c r="A21" s="171"/>
    </row>
    <row r="22" spans="1:13" ht="21">
      <c r="A22" s="172" t="s">
        <v>149</v>
      </c>
    </row>
    <row r="23" spans="1:13" ht="21">
      <c r="A23" s="172"/>
    </row>
    <row r="24" spans="1:13" ht="21">
      <c r="A24" s="206" t="s">
        <v>152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</row>
    <row r="26" spans="1:13" ht="21">
      <c r="A26" s="172" t="s">
        <v>159</v>
      </c>
    </row>
    <row r="27" spans="1:13" ht="21">
      <c r="A27" s="172"/>
    </row>
    <row r="28" spans="1:13" ht="21">
      <c r="A28" s="171" t="s">
        <v>158</v>
      </c>
    </row>
    <row r="30" spans="1:13" ht="21">
      <c r="A30" s="171" t="s">
        <v>160</v>
      </c>
    </row>
    <row r="31" spans="1:13" ht="21">
      <c r="A31" s="171" t="s">
        <v>163</v>
      </c>
    </row>
    <row r="32" spans="1:13" ht="21">
      <c r="A32" s="171" t="s">
        <v>164</v>
      </c>
    </row>
    <row r="33" spans="1:1" ht="21">
      <c r="A33" s="171" t="s">
        <v>161</v>
      </c>
    </row>
    <row r="34" spans="1:1" ht="21">
      <c r="A34" s="171" t="s">
        <v>162</v>
      </c>
    </row>
    <row r="37" spans="1:1" ht="21">
      <c r="A37" s="171" t="s">
        <v>183</v>
      </c>
    </row>
    <row r="38" spans="1:1" ht="21">
      <c r="A38" s="171" t="s">
        <v>184</v>
      </c>
    </row>
  </sheetData>
  <sheetProtection algorithmName="SHA-512" hashValue="D8BpneTi9/sjLIHht1B8B/guNDZAUcsSVIFZkxaJfHVdnDUMVEcdZ5Rjl9kzvuQ2tb25qCSdcP9ph17pcGOZkg==" saltValue="ebAZ6cg6DFg3Ey9bkW/VwQ==" spinCount="100000" sheet="1" objects="1" scenarios="1"/>
  <mergeCells count="2">
    <mergeCell ref="A16:J16"/>
    <mergeCell ref="A24:M24"/>
  </mergeCells>
  <hyperlinks>
    <hyperlink ref="A24" r:id="rId1" xr:uid="{5F162F47-E36F-8847-A630-55EF729F6104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ABC5-AD9B-4FB4-9D65-F3A1F91C73F7}">
  <sheetPr>
    <pageSetUpPr fitToPage="1"/>
  </sheetPr>
  <dimension ref="A1:P40"/>
  <sheetViews>
    <sheetView showGridLines="0" zoomScale="110" zoomScaleNormal="110" workbookViewId="0">
      <selection activeCell="E7" sqref="E7"/>
    </sheetView>
  </sheetViews>
  <sheetFormatPr baseColWidth="10" defaultColWidth="9.7109375" defaultRowHeight="16"/>
  <cols>
    <col min="1" max="1" width="12.140625" style="1" customWidth="1"/>
    <col min="2" max="2" width="12.7109375" style="1" customWidth="1"/>
    <col min="3" max="3" width="31.28515625" style="1" bestFit="1" customWidth="1"/>
    <col min="4" max="4" width="11.85546875" style="1" bestFit="1" customWidth="1"/>
    <col min="5" max="7" width="11.85546875" style="1" customWidth="1"/>
    <col min="8" max="8" width="11.5703125" style="1" customWidth="1"/>
    <col min="9" max="12" width="10" style="3" customWidth="1"/>
    <col min="13" max="13" width="10.140625" style="1" customWidth="1"/>
    <col min="14" max="16384" width="9.7109375" style="1"/>
  </cols>
  <sheetData>
    <row r="1" spans="1:16">
      <c r="A1" s="51" t="s">
        <v>134</v>
      </c>
      <c r="D1" s="4"/>
      <c r="E1" s="4"/>
      <c r="F1" s="4"/>
      <c r="G1" s="4"/>
      <c r="H1" s="4"/>
      <c r="I1" s="13"/>
      <c r="J1" s="13"/>
      <c r="K1" s="13"/>
      <c r="L1" s="13"/>
      <c r="M1" s="4"/>
      <c r="O1" s="4"/>
      <c r="P1" s="4"/>
    </row>
    <row r="2" spans="1:16">
      <c r="A2" s="51"/>
      <c r="D2" s="4"/>
      <c r="E2" s="4"/>
      <c r="F2" s="4"/>
      <c r="G2" s="4"/>
      <c r="H2" s="4"/>
      <c r="I2" s="13"/>
      <c r="J2" s="13"/>
      <c r="K2" s="13"/>
      <c r="L2" s="13"/>
      <c r="M2" s="4"/>
      <c r="O2" s="4"/>
      <c r="P2" s="4"/>
    </row>
    <row r="3" spans="1:16" ht="17" thickBot="1">
      <c r="A3" s="14"/>
      <c r="B3" s="14"/>
      <c r="C3" s="106"/>
      <c r="D3" s="181" t="s">
        <v>179</v>
      </c>
      <c r="E3" s="183"/>
      <c r="F3" s="183"/>
      <c r="G3" s="183"/>
      <c r="H3" s="182"/>
      <c r="I3" s="12"/>
      <c r="J3" s="12"/>
      <c r="K3" s="12"/>
      <c r="L3" s="12"/>
      <c r="M3" s="4"/>
      <c r="N3" s="4"/>
      <c r="O3" s="4"/>
      <c r="P3" s="15"/>
    </row>
    <row r="4" spans="1:16" ht="29" thickBot="1">
      <c r="A4" s="79" t="s">
        <v>44</v>
      </c>
      <c r="B4" s="80" t="s">
        <v>45</v>
      </c>
      <c r="C4" s="176" t="s">
        <v>51</v>
      </c>
      <c r="D4" s="180">
        <v>1</v>
      </c>
      <c r="E4" s="180">
        <v>2</v>
      </c>
      <c r="F4" s="180">
        <v>3</v>
      </c>
      <c r="G4" s="180">
        <v>4</v>
      </c>
      <c r="H4" s="180">
        <v>5</v>
      </c>
      <c r="I4" s="177" t="s">
        <v>79</v>
      </c>
      <c r="J4" s="81" t="s">
        <v>113</v>
      </c>
      <c r="K4" s="82" t="s">
        <v>80</v>
      </c>
      <c r="L4" s="4"/>
      <c r="M4" s="4"/>
      <c r="N4" s="15"/>
    </row>
    <row r="5" spans="1:16">
      <c r="A5" s="58"/>
      <c r="B5" s="184"/>
      <c r="C5" s="99" t="s">
        <v>178</v>
      </c>
      <c r="D5" s="194">
        <v>7</v>
      </c>
      <c r="E5" s="194">
        <v>7</v>
      </c>
      <c r="F5" s="194">
        <f t="shared" ref="F5:H5" si="0">+E5</f>
        <v>7</v>
      </c>
      <c r="G5" s="194">
        <f t="shared" si="0"/>
        <v>7</v>
      </c>
      <c r="H5" s="194">
        <f t="shared" si="0"/>
        <v>7</v>
      </c>
      <c r="I5" s="195"/>
      <c r="J5" s="174"/>
      <c r="K5" s="94"/>
      <c r="L5" s="4"/>
      <c r="M5" s="4"/>
      <c r="N5" s="15"/>
    </row>
    <row r="6" spans="1:16">
      <c r="A6" s="56"/>
      <c r="B6" s="185"/>
      <c r="C6" s="101" t="s">
        <v>58</v>
      </c>
      <c r="D6" s="153">
        <v>7</v>
      </c>
      <c r="E6" s="153">
        <f>+D6</f>
        <v>7</v>
      </c>
      <c r="F6" s="153">
        <f t="shared" ref="F6:H7" si="1">+E6</f>
        <v>7</v>
      </c>
      <c r="G6" s="153">
        <f t="shared" si="1"/>
        <v>7</v>
      </c>
      <c r="H6" s="153">
        <f t="shared" si="1"/>
        <v>7</v>
      </c>
      <c r="I6" s="196"/>
      <c r="J6" s="175"/>
      <c r="K6" s="95"/>
      <c r="L6" s="4"/>
      <c r="M6" s="4"/>
      <c r="N6" s="15"/>
    </row>
    <row r="7" spans="1:16">
      <c r="A7" s="56"/>
      <c r="B7" s="185"/>
      <c r="C7" s="101" t="s">
        <v>10</v>
      </c>
      <c r="D7" s="153">
        <v>207.44</v>
      </c>
      <c r="E7" s="153">
        <f>+D7</f>
        <v>207.44</v>
      </c>
      <c r="F7" s="153">
        <f t="shared" si="1"/>
        <v>207.44</v>
      </c>
      <c r="G7" s="153">
        <f t="shared" si="1"/>
        <v>207.44</v>
      </c>
      <c r="H7" s="153">
        <f>D7</f>
        <v>207.44</v>
      </c>
      <c r="I7" s="196"/>
      <c r="J7" s="175"/>
      <c r="K7" s="95"/>
      <c r="L7" s="62"/>
      <c r="M7" s="4"/>
      <c r="N7" s="15"/>
    </row>
    <row r="8" spans="1:16">
      <c r="A8" s="56"/>
      <c r="B8" s="185"/>
      <c r="C8" s="101" t="s">
        <v>52</v>
      </c>
      <c r="D8" s="98">
        <f>D6*D7</f>
        <v>1452.08</v>
      </c>
      <c r="E8" s="98">
        <f t="shared" ref="E8:G8" si="2">E6*E7</f>
        <v>1452.08</v>
      </c>
      <c r="F8" s="98">
        <f t="shared" si="2"/>
        <v>1452.08</v>
      </c>
      <c r="G8" s="98">
        <f t="shared" si="2"/>
        <v>1452.08</v>
      </c>
      <c r="H8" s="98">
        <f>H6*H7</f>
        <v>1452.08</v>
      </c>
      <c r="I8" s="196"/>
      <c r="J8" s="175"/>
      <c r="K8" s="95"/>
      <c r="L8" s="4"/>
      <c r="M8" s="4"/>
      <c r="N8" s="15"/>
    </row>
    <row r="9" spans="1:16">
      <c r="A9" s="56" t="s">
        <v>47</v>
      </c>
      <c r="B9" s="186" t="s">
        <v>46</v>
      </c>
      <c r="C9" s="101" t="s">
        <v>53</v>
      </c>
      <c r="D9" s="153"/>
      <c r="E9" s="153">
        <v>1000</v>
      </c>
      <c r="F9" s="153"/>
      <c r="G9" s="153"/>
      <c r="H9" s="153"/>
      <c r="I9" s="102"/>
      <c r="J9" s="175"/>
      <c r="K9" s="95"/>
      <c r="L9" s="4"/>
      <c r="M9" s="4"/>
      <c r="N9" s="15"/>
    </row>
    <row r="10" spans="1:16" ht="17" thickBot="1">
      <c r="A10" s="189" t="s">
        <v>47</v>
      </c>
      <c r="B10" s="190" t="s">
        <v>46</v>
      </c>
      <c r="C10" s="200" t="s">
        <v>54</v>
      </c>
      <c r="D10" s="103">
        <f>+D9+D8</f>
        <v>1452.08</v>
      </c>
      <c r="E10" s="103">
        <f t="shared" ref="E10:G10" si="3">+E9+E8</f>
        <v>2452.08</v>
      </c>
      <c r="F10" s="103">
        <f t="shared" si="3"/>
        <v>1452.08</v>
      </c>
      <c r="G10" s="103">
        <f t="shared" si="3"/>
        <v>1452.08</v>
      </c>
      <c r="H10" s="103">
        <f>+H9+H8</f>
        <v>1452.08</v>
      </c>
      <c r="I10" s="104">
        <f>SUM(D10:H10)</f>
        <v>8260.4</v>
      </c>
      <c r="J10" s="175">
        <f>I10</f>
        <v>8260.4</v>
      </c>
      <c r="K10" s="60"/>
      <c r="L10" s="4"/>
      <c r="M10" s="4"/>
      <c r="N10" s="15"/>
    </row>
    <row r="11" spans="1:16" hidden="1">
      <c r="A11" s="56"/>
      <c r="B11" s="186"/>
      <c r="C11" s="101" t="s">
        <v>176</v>
      </c>
      <c r="D11" s="98" cm="1">
        <f t="array" ref="D11">VLOOKUP($I$38,DiasCalculo,+D$4+1,0)</f>
        <v>7</v>
      </c>
      <c r="E11" s="98">
        <f>VLOOKUP($I$38,DiasCalculo,+E$4+1,0)</f>
        <v>7</v>
      </c>
      <c r="F11" s="98">
        <f>VLOOKUP($I$38,DiasCalculo,+F$4+1,0)</f>
        <v>7</v>
      </c>
      <c r="G11" s="98" cm="1">
        <f t="array" ref="G11">VLOOKUP($I$38,DiasCalculo,+G$4+1,0)</f>
        <v>7</v>
      </c>
      <c r="H11" s="98" cm="1">
        <f t="array" ref="H11">VLOOKUP($I$38,DiasCalculo,+H$4+1,0)</f>
        <v>7</v>
      </c>
      <c r="I11" s="102"/>
      <c r="J11" s="175"/>
      <c r="K11" s="60"/>
      <c r="L11" s="4"/>
      <c r="M11" s="4"/>
      <c r="N11" s="15"/>
    </row>
    <row r="12" spans="1:16" hidden="1">
      <c r="A12" s="56"/>
      <c r="B12" s="186"/>
      <c r="C12" s="197" t="s">
        <v>167</v>
      </c>
      <c r="D12" s="55">
        <f>D10/D11*30.4</f>
        <v>6306.1759999999995</v>
      </c>
      <c r="E12" s="55">
        <f>E10/E11*30.4</f>
        <v>10649.033142857141</v>
      </c>
      <c r="F12" s="55">
        <f t="shared" ref="F12:G12" si="4">F10/F11*30.4</f>
        <v>6306.1759999999995</v>
      </c>
      <c r="G12" s="55">
        <f t="shared" si="4"/>
        <v>6306.1759999999995</v>
      </c>
      <c r="H12" s="55">
        <f t="shared" ref="H12" si="5">H10/H11*30.4</f>
        <v>6306.1759999999995</v>
      </c>
      <c r="I12" s="102"/>
      <c r="J12" s="175"/>
      <c r="K12" s="60"/>
      <c r="L12" s="4"/>
      <c r="M12" s="4"/>
      <c r="N12" s="15"/>
    </row>
    <row r="13" spans="1:16" hidden="1">
      <c r="A13" s="56"/>
      <c r="B13" s="186"/>
      <c r="C13" s="198" t="s">
        <v>168</v>
      </c>
      <c r="D13" s="55">
        <f>((D12-VLOOKUP(D12,TablaMes,1))*VLOOKUP(D12,TablaMes,3))+VLOOKUP(D12,TablaMes,2)</f>
        <v>370.16806399999996</v>
      </c>
      <c r="E13" s="55">
        <f>((E12-VLOOKUP(E12,TablaMes,1))*VLOOKUP(E12,TablaMes,3))+VLOOKUP(E12,TablaMes,2)</f>
        <v>841.51667794285686</v>
      </c>
      <c r="F13" s="55">
        <f>((F12-VLOOKUP(F12,TablaMes,1))*VLOOKUP(F12,TablaMes,3))+VLOOKUP(F12,TablaMes,2)</f>
        <v>370.16806399999996</v>
      </c>
      <c r="G13" s="55">
        <f>((G12-VLOOKUP(G12,TablaMes,1))*VLOOKUP(G12,TablaMes,3))+VLOOKUP(G12,TablaMes,2)</f>
        <v>370.16806399999996</v>
      </c>
      <c r="H13" s="55">
        <f>((H12-VLOOKUP(H12,TablaMes,1))*VLOOKUP(H12,TablaMes,3))+VLOOKUP(H12,TablaMes,2)</f>
        <v>370.16806399999996</v>
      </c>
      <c r="I13" s="102"/>
      <c r="J13" s="175"/>
      <c r="K13" s="60"/>
      <c r="L13" s="4"/>
      <c r="M13" s="4"/>
      <c r="N13" s="15"/>
    </row>
    <row r="14" spans="1:16" ht="17" hidden="1" thickBot="1">
      <c r="A14" s="187"/>
      <c r="B14" s="188"/>
      <c r="C14" s="199" t="s">
        <v>169</v>
      </c>
      <c r="D14" s="107">
        <f>VLOOKUP(D12,SubMes,2)</f>
        <v>253.54</v>
      </c>
      <c r="E14" s="107">
        <f>VLOOKUP(E12,SubMes,2)</f>
        <v>0</v>
      </c>
      <c r="F14" s="107">
        <f>VLOOKUP(F12,SubMes,2)</f>
        <v>253.54</v>
      </c>
      <c r="G14" s="107">
        <f>VLOOKUP(G12,SubMes,2)</f>
        <v>253.54</v>
      </c>
      <c r="H14" s="107">
        <f>VLOOKUP(H12,SubMes,2)</f>
        <v>253.54</v>
      </c>
      <c r="I14" s="104"/>
      <c r="J14" s="175"/>
      <c r="K14" s="60"/>
      <c r="L14" s="4"/>
      <c r="M14" s="4"/>
      <c r="N14" s="15"/>
    </row>
    <row r="15" spans="1:16">
      <c r="A15" s="77"/>
      <c r="B15" s="92"/>
      <c r="C15" s="101" t="s">
        <v>81</v>
      </c>
      <c r="D15" s="154">
        <f>D13/30.4*D11</f>
        <v>85.236067368421047</v>
      </c>
      <c r="E15" s="154">
        <f t="shared" ref="E15:G15" si="6">E13/30.4*E11</f>
        <v>193.77028768421047</v>
      </c>
      <c r="F15" s="154">
        <f t="shared" si="6"/>
        <v>85.236067368421047</v>
      </c>
      <c r="G15" s="154">
        <f t="shared" si="6"/>
        <v>85.236067368421047</v>
      </c>
      <c r="H15" s="154">
        <f t="shared" ref="H15" si="7">H13/30.4*H11</f>
        <v>85.236067368421047</v>
      </c>
      <c r="I15" s="102">
        <f t="shared" ref="I15:I27" si="8">SUM(D15:H15)</f>
        <v>534.71455715789466</v>
      </c>
      <c r="J15" s="174">
        <f>((J10-VLOOKUP(J10,TablaMes,1))*VLOOKUP(J10,TablaMes,3))+VLOOKUP(J10,TablaMes,2)</f>
        <v>581.63339199999996</v>
      </c>
      <c r="K15" s="59">
        <f>I15-J15</f>
        <v>-46.918834842105298</v>
      </c>
      <c r="L15" s="4"/>
      <c r="M15" s="4"/>
      <c r="N15" s="15"/>
    </row>
    <row r="16" spans="1:16">
      <c r="A16" s="77"/>
      <c r="B16" s="92" t="s">
        <v>105</v>
      </c>
      <c r="C16" s="101" t="s">
        <v>62</v>
      </c>
      <c r="D16" s="98">
        <f>D14/30.4*D11</f>
        <v>58.380921052631578</v>
      </c>
      <c r="E16" s="98">
        <f t="shared" ref="E16:G16" si="9">E14/30.4*E11</f>
        <v>0</v>
      </c>
      <c r="F16" s="98">
        <f t="shared" si="9"/>
        <v>58.380921052631578</v>
      </c>
      <c r="G16" s="98">
        <f t="shared" si="9"/>
        <v>58.380921052631578</v>
      </c>
      <c r="H16" s="98">
        <f>IF(SUM(D16:G16)&gt;VLOOKUP(J10,SubMes,2),0,MIN((H14/30.4)*H11,VLOOKUP(J10,SubMes,2)-SUM(D16:G16)))</f>
        <v>0</v>
      </c>
      <c r="I16" s="102">
        <f t="shared" si="8"/>
        <v>175.14276315789473</v>
      </c>
      <c r="J16" s="175">
        <f>VLOOKUP(J10,SubMes,2)</f>
        <v>0</v>
      </c>
      <c r="K16" s="60">
        <f>I16-J16</f>
        <v>175.14276315789473</v>
      </c>
      <c r="L16" s="4"/>
      <c r="M16" s="4"/>
      <c r="N16" s="15"/>
    </row>
    <row r="17" spans="1:14">
      <c r="A17" s="77"/>
      <c r="B17" s="92" t="s">
        <v>105</v>
      </c>
      <c r="C17" s="101" t="s">
        <v>115</v>
      </c>
      <c r="D17" s="98"/>
      <c r="E17" s="98"/>
      <c r="F17" s="98"/>
      <c r="G17" s="98"/>
      <c r="H17" s="98">
        <f>MIN(0,(K16*J33))*-1</f>
        <v>0</v>
      </c>
      <c r="I17" s="102">
        <f t="shared" si="8"/>
        <v>0</v>
      </c>
      <c r="J17" s="175"/>
      <c r="K17" s="96"/>
      <c r="L17" s="4"/>
      <c r="M17" s="4"/>
      <c r="N17" s="15"/>
    </row>
    <row r="18" spans="1:14">
      <c r="A18" s="77" t="s">
        <v>40</v>
      </c>
      <c r="B18" s="92" t="s">
        <v>42</v>
      </c>
      <c r="C18" s="101" t="s">
        <v>48</v>
      </c>
      <c r="D18" s="98">
        <f>MAX(0,+D15-D16)</f>
        <v>26.855146315789469</v>
      </c>
      <c r="E18" s="98">
        <f t="shared" ref="E18:G18" si="10">MAX(0,+E15-E16)</f>
        <v>193.77028768421047</v>
      </c>
      <c r="F18" s="98">
        <f t="shared" si="10"/>
        <v>26.855146315789469</v>
      </c>
      <c r="G18" s="98">
        <f t="shared" si="10"/>
        <v>26.855146315789469</v>
      </c>
      <c r="H18" s="98">
        <f>MAX(0,+H15-H16)</f>
        <v>85.236067368421047</v>
      </c>
      <c r="I18" s="102">
        <f t="shared" si="8"/>
        <v>359.5717939999999</v>
      </c>
      <c r="J18" s="175">
        <f>MAX(0,+J15-J16)</f>
        <v>581.63339199999996</v>
      </c>
      <c r="K18" s="60">
        <f>I18-J18</f>
        <v>-222.06159800000006</v>
      </c>
      <c r="L18" s="4"/>
      <c r="M18" s="4"/>
      <c r="N18" s="15"/>
    </row>
    <row r="19" spans="1:14">
      <c r="A19" s="77" t="s">
        <v>40</v>
      </c>
      <c r="B19" s="92" t="s">
        <v>42</v>
      </c>
      <c r="C19" s="101" t="s">
        <v>180</v>
      </c>
      <c r="D19" s="98"/>
      <c r="E19" s="98"/>
      <c r="F19" s="98"/>
      <c r="G19" s="98"/>
      <c r="H19" s="98">
        <f>MAX(0,(K18*-1)*J36)</f>
        <v>222.06159800000006</v>
      </c>
      <c r="I19" s="102">
        <f t="shared" si="8"/>
        <v>222.06159800000006</v>
      </c>
      <c r="J19" s="175"/>
      <c r="K19" s="60"/>
      <c r="L19" s="4"/>
      <c r="M19" s="4"/>
      <c r="N19" s="15"/>
    </row>
    <row r="20" spans="1:14">
      <c r="A20" s="77" t="s">
        <v>40</v>
      </c>
      <c r="B20" s="92" t="s">
        <v>43</v>
      </c>
      <c r="C20" s="101" t="s">
        <v>49</v>
      </c>
      <c r="D20" s="98">
        <f>MAX(0,D16-D15)</f>
        <v>0</v>
      </c>
      <c r="E20" s="98">
        <f t="shared" ref="E20:G20" si="11">MAX(0,E16-E15)</f>
        <v>0</v>
      </c>
      <c r="F20" s="98">
        <f t="shared" si="11"/>
        <v>0</v>
      </c>
      <c r="G20" s="98">
        <f t="shared" si="11"/>
        <v>0</v>
      </c>
      <c r="H20" s="98">
        <f>MIN(MAX(0,H16-H15),MAX(0,J20-SUM(D20:D20)))</f>
        <v>0</v>
      </c>
      <c r="I20" s="102">
        <f t="shared" si="8"/>
        <v>0</v>
      </c>
      <c r="J20" s="175">
        <f>MAX(0,J16-J15)</f>
        <v>0</v>
      </c>
      <c r="K20" s="60">
        <f>I20-J20</f>
        <v>0</v>
      </c>
      <c r="L20" s="4"/>
      <c r="M20" s="4"/>
      <c r="N20" s="15"/>
    </row>
    <row r="21" spans="1:14" ht="17" thickBot="1">
      <c r="A21" s="78" t="s">
        <v>40</v>
      </c>
      <c r="B21" s="93" t="s">
        <v>43</v>
      </c>
      <c r="C21" s="101" t="s">
        <v>114</v>
      </c>
      <c r="D21" s="98"/>
      <c r="E21" s="98"/>
      <c r="F21" s="98"/>
      <c r="G21" s="98"/>
      <c r="H21" s="98">
        <f>MIN(0,(K20*J34))*-1</f>
        <v>0</v>
      </c>
      <c r="I21" s="102">
        <f t="shared" si="8"/>
        <v>0</v>
      </c>
      <c r="J21" s="191"/>
      <c r="K21" s="97"/>
      <c r="L21" s="4"/>
      <c r="M21" s="4"/>
      <c r="N21" s="15"/>
    </row>
    <row r="22" spans="1:14">
      <c r="A22" s="147" t="s">
        <v>82</v>
      </c>
      <c r="B22" s="148" t="s">
        <v>42</v>
      </c>
      <c r="C22" s="99" t="s">
        <v>50</v>
      </c>
      <c r="D22" s="100"/>
      <c r="E22" s="100"/>
      <c r="F22" s="100"/>
      <c r="G22" s="100"/>
      <c r="H22" s="100">
        <f>MAX(0,K16)</f>
        <v>175.14276315789473</v>
      </c>
      <c r="I22" s="105">
        <f t="shared" si="8"/>
        <v>175.14276315789473</v>
      </c>
      <c r="J22" s="192"/>
      <c r="K22" s="59"/>
      <c r="L22" s="4"/>
      <c r="M22" s="4"/>
      <c r="N22" s="15"/>
    </row>
    <row r="23" spans="1:14">
      <c r="A23" s="149" t="s">
        <v>40</v>
      </c>
      <c r="B23" s="150" t="s">
        <v>42</v>
      </c>
      <c r="C23" s="101" t="s">
        <v>92</v>
      </c>
      <c r="D23" s="98"/>
      <c r="E23" s="98"/>
      <c r="F23" s="98"/>
      <c r="G23" s="98"/>
      <c r="H23" s="98">
        <f>MAX(0,H22-H25)</f>
        <v>175.14276315789473</v>
      </c>
      <c r="I23" s="102">
        <f t="shared" si="8"/>
        <v>175.14276315789473</v>
      </c>
      <c r="J23" s="16"/>
      <c r="K23" s="60"/>
      <c r="L23" s="4"/>
      <c r="M23" s="4"/>
      <c r="N23" s="15"/>
    </row>
    <row r="24" spans="1:14">
      <c r="A24" s="149" t="s">
        <v>90</v>
      </c>
      <c r="B24" s="150" t="s">
        <v>43</v>
      </c>
      <c r="C24" s="101" t="s">
        <v>32</v>
      </c>
      <c r="D24" s="98"/>
      <c r="E24" s="98"/>
      <c r="F24" s="98"/>
      <c r="G24" s="98"/>
      <c r="H24" s="98">
        <f>H23</f>
        <v>175.14276315789473</v>
      </c>
      <c r="I24" s="102">
        <f t="shared" si="8"/>
        <v>175.14276315789473</v>
      </c>
      <c r="J24" s="16"/>
      <c r="K24" s="96"/>
      <c r="M24" s="4"/>
      <c r="N24" s="15"/>
    </row>
    <row r="25" spans="1:14">
      <c r="A25" s="149" t="s">
        <v>83</v>
      </c>
      <c r="B25" s="150" t="s">
        <v>42</v>
      </c>
      <c r="C25" s="101" t="s">
        <v>128</v>
      </c>
      <c r="D25" s="98"/>
      <c r="E25" s="98"/>
      <c r="F25" s="98"/>
      <c r="G25" s="98"/>
      <c r="H25" s="98">
        <f>MAX(0,K20)</f>
        <v>0</v>
      </c>
      <c r="I25" s="102">
        <f t="shared" si="8"/>
        <v>0</v>
      </c>
      <c r="J25" s="16"/>
      <c r="K25" s="60"/>
      <c r="L25" s="4"/>
      <c r="M25" s="4"/>
      <c r="N25" s="15"/>
    </row>
    <row r="26" spans="1:14">
      <c r="A26" s="149" t="s">
        <v>91</v>
      </c>
      <c r="B26" s="150" t="s">
        <v>43</v>
      </c>
      <c r="C26" s="101" t="s">
        <v>89</v>
      </c>
      <c r="D26" s="98"/>
      <c r="E26" s="98"/>
      <c r="F26" s="98"/>
      <c r="G26" s="98"/>
      <c r="H26" s="98">
        <f>IF(I37="No",MIN(H22,H25), IF(H22=0,0,H25))</f>
        <v>0</v>
      </c>
      <c r="I26" s="102">
        <f t="shared" si="8"/>
        <v>0</v>
      </c>
      <c r="J26" s="16"/>
      <c r="K26" s="60"/>
      <c r="L26" s="4"/>
      <c r="M26" s="4"/>
      <c r="N26" s="15"/>
    </row>
    <row r="27" spans="1:14" ht="23.25" customHeight="1" thickBot="1">
      <c r="A27" s="151" t="s">
        <v>39</v>
      </c>
      <c r="B27" s="152" t="s">
        <v>43</v>
      </c>
      <c r="C27" s="178" t="s">
        <v>112</v>
      </c>
      <c r="D27" s="103"/>
      <c r="E27" s="103"/>
      <c r="F27" s="103"/>
      <c r="G27" s="103"/>
      <c r="H27" s="103">
        <f>MAX(0,(I18+H23-J18)*J35)</f>
        <v>0</v>
      </c>
      <c r="I27" s="104">
        <f t="shared" si="8"/>
        <v>0</v>
      </c>
      <c r="J27" s="193"/>
      <c r="K27" s="57"/>
      <c r="L27" s="4"/>
      <c r="M27" s="4"/>
      <c r="N27" s="15"/>
    </row>
    <row r="28" spans="1:14">
      <c r="A28" s="85"/>
      <c r="B28" s="86"/>
      <c r="C28" s="86" t="s">
        <v>100</v>
      </c>
      <c r="D28" s="86">
        <f t="shared" ref="D28:G28" si="12">+D10+D20+D21+D24+D26+D27</f>
        <v>1452.08</v>
      </c>
      <c r="E28" s="86">
        <f t="shared" si="12"/>
        <v>2452.08</v>
      </c>
      <c r="F28" s="86">
        <f t="shared" si="12"/>
        <v>1452.08</v>
      </c>
      <c r="G28" s="86">
        <f t="shared" si="12"/>
        <v>1452.08</v>
      </c>
      <c r="H28" s="86">
        <f>+H10+H20+H21+H24+H26+H27</f>
        <v>1627.2227631578946</v>
      </c>
      <c r="I28" s="86"/>
      <c r="J28" s="84"/>
      <c r="K28" s="59"/>
      <c r="L28" s="4"/>
      <c r="M28" s="4"/>
      <c r="N28" s="15"/>
    </row>
    <row r="29" spans="1:14">
      <c r="A29" s="87"/>
      <c r="B29" s="53"/>
      <c r="C29" s="53" t="s">
        <v>101</v>
      </c>
      <c r="D29" s="53">
        <f t="shared" ref="D29:G29" si="13">+D18+D19+D22+D23+D25</f>
        <v>26.855146315789469</v>
      </c>
      <c r="E29" s="53">
        <f t="shared" si="13"/>
        <v>193.77028768421047</v>
      </c>
      <c r="F29" s="53">
        <f t="shared" si="13"/>
        <v>26.855146315789469</v>
      </c>
      <c r="G29" s="53">
        <f t="shared" si="13"/>
        <v>26.855146315789469</v>
      </c>
      <c r="H29" s="53">
        <f>+H18+H19+H22+H23+H25</f>
        <v>657.58319168421053</v>
      </c>
      <c r="I29" s="53"/>
      <c r="J29" s="83"/>
      <c r="K29" s="60"/>
      <c r="L29" s="4"/>
      <c r="M29" s="4"/>
      <c r="N29" s="15"/>
    </row>
    <row r="30" spans="1:14" ht="17" thickBot="1">
      <c r="A30" s="88"/>
      <c r="B30" s="61"/>
      <c r="C30" s="89" t="s">
        <v>103</v>
      </c>
      <c r="D30" s="90">
        <f t="shared" ref="D30:G30" si="14">+D28-D29</f>
        <v>1425.2248536842105</v>
      </c>
      <c r="E30" s="90">
        <f t="shared" si="14"/>
        <v>2258.3097123157895</v>
      </c>
      <c r="F30" s="90">
        <f t="shared" si="14"/>
        <v>1425.2248536842105</v>
      </c>
      <c r="G30" s="90">
        <f t="shared" si="14"/>
        <v>1425.2248536842105</v>
      </c>
      <c r="H30" s="90">
        <f t="shared" ref="H30" si="15">+H28-H29</f>
        <v>969.6395714736841</v>
      </c>
      <c r="I30" s="90">
        <f>SUM(D30:H30)</f>
        <v>7503.6238448421063</v>
      </c>
      <c r="J30" s="91"/>
      <c r="K30" s="57"/>
      <c r="L30" s="4"/>
      <c r="M30" s="4"/>
      <c r="N30" s="15"/>
    </row>
    <row r="31" spans="1:14">
      <c r="J31" s="53"/>
      <c r="K31" s="16"/>
      <c r="L31" s="4"/>
      <c r="M31" s="4"/>
      <c r="N31" s="15"/>
    </row>
    <row r="32" spans="1:14">
      <c r="J32" s="53"/>
      <c r="K32" s="16"/>
      <c r="L32" s="4"/>
      <c r="M32" s="4"/>
      <c r="N32" s="15"/>
    </row>
    <row r="33" spans="1:16">
      <c r="A33" s="52" t="s">
        <v>125</v>
      </c>
      <c r="B33" s="14"/>
      <c r="H33" s="4"/>
      <c r="I33" s="146" t="s">
        <v>165</v>
      </c>
      <c r="J33" s="173">
        <f>IF(I33="si",1,0)</f>
        <v>0</v>
      </c>
      <c r="K33" s="13"/>
      <c r="L33" s="13"/>
      <c r="M33" s="4"/>
      <c r="O33" s="4"/>
      <c r="P33" s="4"/>
    </row>
    <row r="34" spans="1:16">
      <c r="A34" s="52" t="s">
        <v>126</v>
      </c>
      <c r="B34" s="14"/>
      <c r="H34" s="4"/>
      <c r="I34" s="146" t="s">
        <v>165</v>
      </c>
      <c r="J34" s="173">
        <f>IF(I34="si",1,0)</f>
        <v>0</v>
      </c>
      <c r="K34" s="13"/>
      <c r="L34" s="13"/>
      <c r="M34" s="4"/>
      <c r="O34" s="4"/>
      <c r="P34" s="4"/>
    </row>
    <row r="35" spans="1:16">
      <c r="A35" s="52" t="s">
        <v>182</v>
      </c>
      <c r="B35" s="14"/>
      <c r="H35" s="4"/>
      <c r="I35" s="146" t="s">
        <v>165</v>
      </c>
      <c r="J35" s="173">
        <f>IF(I35="si",1,0)</f>
        <v>0</v>
      </c>
      <c r="K35" s="13"/>
      <c r="L35" s="13"/>
      <c r="M35" s="4"/>
      <c r="O35" s="4"/>
      <c r="P35" s="4"/>
    </row>
    <row r="36" spans="1:16">
      <c r="A36" s="52" t="s">
        <v>181</v>
      </c>
      <c r="I36" s="146" t="s">
        <v>144</v>
      </c>
      <c r="J36" s="173">
        <f>IF(I36="si",1,0)</f>
        <v>1</v>
      </c>
    </row>
    <row r="37" spans="1:16">
      <c r="A37" s="52" t="s">
        <v>177</v>
      </c>
      <c r="I37" s="146" t="s">
        <v>165</v>
      </c>
      <c r="J37" s="1"/>
    </row>
    <row r="38" spans="1:16">
      <c r="A38" s="52" t="s">
        <v>170</v>
      </c>
      <c r="I38" s="201" t="s">
        <v>58</v>
      </c>
      <c r="J38" s="1"/>
    </row>
    <row r="39" spans="1:16">
      <c r="I39" s="1"/>
      <c r="J39" s="1"/>
      <c r="K39" s="1"/>
    </row>
    <row r="40" spans="1:16">
      <c r="A40" s="52"/>
    </row>
  </sheetData>
  <sheetProtection algorithmName="SHA-512" hashValue="tdKNan1Q6kMCIMuoUYafuwefQT9lIkRbnFDZSrgIiJRWOq7rpv90I/MMZyNJQ7AtynshuTeOLgyNKtaY3s14Ew==" saltValue="38oj5mQgkCAYp5FfVn3eGw==" spinCount="100000" sheet="1" objects="1" scenarios="1"/>
  <dataValidations count="2">
    <dataValidation type="list" allowBlank="1" showInputMessage="1" showErrorMessage="1" errorTitle="Error al Elegir Opción" error="Usted solo puede escoger &quot;Si&quot; o &quot;No&quot;_x000a_" sqref="I38" xr:uid="{8FFA7D0F-3DD6-49AE-8AB3-A3CCD9F08763}">
      <formula1>ListaOP2</formula1>
    </dataValidation>
    <dataValidation type="list" allowBlank="1" showInputMessage="1" showErrorMessage="1" errorTitle="Error al Elegir Opción" error="Usted solo puede escoger &quot;Si&quot; o &quot;No&quot;_x000a_" sqref="I33:I37" xr:uid="{04E4558C-F0E8-4223-AFD7-CA100FBB4C93}">
      <formula1>ListaOp</formula1>
    </dataValidation>
  </dataValidations>
  <printOptions horizontalCentered="1" verticalCentered="1" gridLinesSet="0"/>
  <pageMargins left="0.25" right="0.25" top="0.75" bottom="0.75" header="0.3" footer="0.3"/>
  <pageSetup scale="84" orientation="landscape" r:id="rId1"/>
  <headerFooter alignWithMargins="0">
    <oddHeader>&amp;C&amp;"Helv,Negrita"&amp;16
&amp;"Arial Black,Negrita"&amp;24&amp;K03+058GENERACION
 DE CONOCIMIENTO
CONTPAQI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8652-39A2-4096-8034-09D750F5440C}">
  <sheetPr>
    <pageSetUpPr fitToPage="1"/>
  </sheetPr>
  <dimension ref="A1:O40"/>
  <sheetViews>
    <sheetView showGridLines="0" zoomScale="70" zoomScaleNormal="70" workbookViewId="0">
      <selection activeCell="D8" sqref="D8"/>
    </sheetView>
  </sheetViews>
  <sheetFormatPr baseColWidth="10" defaultColWidth="9.7109375" defaultRowHeight="16"/>
  <cols>
    <col min="1" max="1" width="12.140625" style="1" customWidth="1"/>
    <col min="2" max="2" width="12.7109375" style="1" customWidth="1"/>
    <col min="3" max="3" width="31.28515625" style="1" bestFit="1" customWidth="1"/>
    <col min="4" max="4" width="11.85546875" style="1" bestFit="1" customWidth="1"/>
    <col min="5" max="6" width="11.85546875" style="1" customWidth="1"/>
    <col min="7" max="7" width="11.5703125" style="1" customWidth="1"/>
    <col min="8" max="11" width="10" style="3" customWidth="1"/>
    <col min="12" max="12" width="10.140625" style="1" customWidth="1"/>
    <col min="13" max="16384" width="9.7109375" style="1"/>
  </cols>
  <sheetData>
    <row r="1" spans="1:15">
      <c r="A1" s="51" t="s">
        <v>134</v>
      </c>
      <c r="D1" s="4"/>
      <c r="E1" s="4"/>
      <c r="F1" s="4"/>
      <c r="G1" s="4"/>
      <c r="H1" s="13"/>
      <c r="I1" s="13"/>
      <c r="J1" s="13"/>
      <c r="K1" s="13"/>
      <c r="L1" s="4"/>
      <c r="N1" s="4"/>
      <c r="O1" s="4"/>
    </row>
    <row r="2" spans="1:15">
      <c r="A2" s="51"/>
      <c r="D2" s="4"/>
      <c r="E2" s="4"/>
      <c r="F2" s="4"/>
      <c r="G2" s="4"/>
      <c r="H2" s="13"/>
      <c r="I2" s="13"/>
      <c r="J2" s="13"/>
      <c r="K2" s="13"/>
      <c r="L2" s="4"/>
      <c r="N2" s="4"/>
      <c r="O2" s="4"/>
    </row>
    <row r="3" spans="1:15" ht="17" thickBot="1">
      <c r="A3" s="14"/>
      <c r="B3" s="14"/>
      <c r="C3" s="106"/>
      <c r="D3" s="181" t="s">
        <v>179</v>
      </c>
      <c r="E3" s="183"/>
      <c r="F3" s="183"/>
      <c r="G3" s="182"/>
      <c r="H3" s="12"/>
      <c r="I3" s="12"/>
      <c r="J3" s="12"/>
      <c r="K3" s="12"/>
      <c r="L3" s="4"/>
      <c r="M3" s="4"/>
      <c r="N3" s="4"/>
      <c r="O3" s="15"/>
    </row>
    <row r="4" spans="1:15" ht="29" thickBot="1">
      <c r="A4" s="79" t="s">
        <v>44</v>
      </c>
      <c r="B4" s="80" t="s">
        <v>45</v>
      </c>
      <c r="C4" s="176" t="s">
        <v>51</v>
      </c>
      <c r="D4" s="180">
        <v>1</v>
      </c>
      <c r="E4" s="180">
        <v>2</v>
      </c>
      <c r="F4" s="180">
        <v>3</v>
      </c>
      <c r="G4" s="180">
        <v>4</v>
      </c>
      <c r="H4" s="177" t="s">
        <v>79</v>
      </c>
      <c r="I4" s="81" t="s">
        <v>113</v>
      </c>
      <c r="J4" s="82" t="s">
        <v>80</v>
      </c>
      <c r="K4" s="4"/>
      <c r="L4" s="4"/>
      <c r="M4" s="15"/>
    </row>
    <row r="5" spans="1:15">
      <c r="A5" s="58"/>
      <c r="B5" s="184"/>
      <c r="C5" s="99" t="s">
        <v>178</v>
      </c>
      <c r="D5" s="194">
        <v>7</v>
      </c>
      <c r="E5" s="194">
        <v>7</v>
      </c>
      <c r="F5" s="194">
        <v>7</v>
      </c>
      <c r="G5" s="194">
        <v>7</v>
      </c>
      <c r="H5" s="195"/>
      <c r="I5" s="174"/>
      <c r="J5" s="94"/>
      <c r="K5" s="4"/>
      <c r="L5" s="4"/>
      <c r="M5" s="15"/>
    </row>
    <row r="6" spans="1:15">
      <c r="A6" s="56"/>
      <c r="B6" s="185"/>
      <c r="C6" s="101" t="s">
        <v>58</v>
      </c>
      <c r="D6" s="153">
        <v>7</v>
      </c>
      <c r="E6" s="153">
        <f>+D6</f>
        <v>7</v>
      </c>
      <c r="F6" s="153">
        <f t="shared" ref="F6:G6" si="0">+E6</f>
        <v>7</v>
      </c>
      <c r="G6" s="153">
        <f t="shared" si="0"/>
        <v>7</v>
      </c>
      <c r="H6" s="196"/>
      <c r="I6" s="175"/>
      <c r="J6" s="95"/>
      <c r="K6" s="4"/>
      <c r="L6" s="4"/>
      <c r="M6" s="15"/>
    </row>
    <row r="7" spans="1:15">
      <c r="A7" s="56"/>
      <c r="B7" s="185"/>
      <c r="C7" s="101" t="s">
        <v>10</v>
      </c>
      <c r="D7" s="153">
        <v>300</v>
      </c>
      <c r="E7" s="153">
        <f>D7</f>
        <v>300</v>
      </c>
      <c r="F7" s="153">
        <f t="shared" ref="F7:G7" si="1">+E7</f>
        <v>300</v>
      </c>
      <c r="G7" s="153">
        <f t="shared" si="1"/>
        <v>300</v>
      </c>
      <c r="H7" s="196"/>
      <c r="I7" s="175"/>
      <c r="J7" s="95"/>
      <c r="K7" s="62"/>
      <c r="L7" s="4"/>
      <c r="M7" s="15"/>
    </row>
    <row r="8" spans="1:15">
      <c r="A8" s="56"/>
      <c r="B8" s="185"/>
      <c r="C8" s="101" t="s">
        <v>52</v>
      </c>
      <c r="D8" s="98">
        <f>D6*D7</f>
        <v>2100</v>
      </c>
      <c r="E8" s="98">
        <f t="shared" ref="E8" si="2">E6*E7</f>
        <v>2100</v>
      </c>
      <c r="F8" s="98">
        <f t="shared" ref="F8:G8" si="3">F6*F7</f>
        <v>2100</v>
      </c>
      <c r="G8" s="98">
        <f t="shared" si="3"/>
        <v>2100</v>
      </c>
      <c r="H8" s="196"/>
      <c r="I8" s="175"/>
      <c r="J8" s="95"/>
      <c r="K8" s="4"/>
      <c r="L8" s="4"/>
      <c r="M8" s="15"/>
    </row>
    <row r="9" spans="1:15">
      <c r="A9" s="56" t="s">
        <v>47</v>
      </c>
      <c r="B9" s="186" t="s">
        <v>46</v>
      </c>
      <c r="C9" s="101" t="s">
        <v>53</v>
      </c>
      <c r="D9" s="153"/>
      <c r="E9" s="153"/>
      <c r="F9" s="153"/>
      <c r="G9" s="153"/>
      <c r="H9" s="102"/>
      <c r="I9" s="175"/>
      <c r="J9" s="95"/>
      <c r="K9" s="4"/>
      <c r="L9" s="4"/>
      <c r="M9" s="15"/>
    </row>
    <row r="10" spans="1:15" ht="17" thickBot="1">
      <c r="A10" s="189" t="s">
        <v>47</v>
      </c>
      <c r="B10" s="190" t="s">
        <v>46</v>
      </c>
      <c r="C10" s="200" t="s">
        <v>54</v>
      </c>
      <c r="D10" s="103">
        <f>+D9+D8</f>
        <v>2100</v>
      </c>
      <c r="E10" s="103">
        <f t="shared" ref="E10" si="4">+E9+E8</f>
        <v>2100</v>
      </c>
      <c r="F10" s="103">
        <f t="shared" ref="F10:G10" si="5">+F9+F8</f>
        <v>2100</v>
      </c>
      <c r="G10" s="103">
        <f t="shared" si="5"/>
        <v>2100</v>
      </c>
      <c r="H10" s="104">
        <f>SUM(D10:G10)</f>
        <v>8400</v>
      </c>
      <c r="I10" s="175">
        <f>H10</f>
        <v>8400</v>
      </c>
      <c r="J10" s="60"/>
      <c r="K10" s="4"/>
      <c r="L10" s="4"/>
      <c r="M10" s="15"/>
    </row>
    <row r="11" spans="1:15" hidden="1">
      <c r="A11" s="56"/>
      <c r="B11" s="186"/>
      <c r="C11" s="101" t="s">
        <v>176</v>
      </c>
      <c r="D11" s="98">
        <f>VLOOKUP($H$38,DiasCalculo,+D$4+1,0)</f>
        <v>7</v>
      </c>
      <c r="E11" s="98">
        <f>VLOOKUP($H$38,DiasCalculo,+E$4+1,0)</f>
        <v>7</v>
      </c>
      <c r="F11" s="98">
        <f>VLOOKUP($H$38,DiasCalculo,+F$4+1,0)</f>
        <v>7</v>
      </c>
      <c r="G11" s="98">
        <f>VLOOKUP($H$38,DiasCalculo,+G$4+1,0)</f>
        <v>7</v>
      </c>
      <c r="H11" s="102"/>
      <c r="I11" s="175"/>
      <c r="J11" s="60"/>
      <c r="K11" s="4"/>
      <c r="L11" s="4"/>
      <c r="M11" s="15"/>
    </row>
    <row r="12" spans="1:15" hidden="1">
      <c r="A12" s="56"/>
      <c r="B12" s="186"/>
      <c r="C12" s="197" t="s">
        <v>167</v>
      </c>
      <c r="D12" s="55">
        <f>D10/D11*30.4</f>
        <v>9120</v>
      </c>
      <c r="E12" s="55">
        <f>E10/E11*30.4</f>
        <v>9120</v>
      </c>
      <c r="F12" s="55">
        <f t="shared" ref="F12:G12" si="6">F10/F11*30.4</f>
        <v>9120</v>
      </c>
      <c r="G12" s="55">
        <f t="shared" si="6"/>
        <v>9120</v>
      </c>
      <c r="H12" s="102"/>
      <c r="I12" s="175"/>
      <c r="J12" s="60"/>
      <c r="K12" s="4"/>
      <c r="L12" s="4"/>
      <c r="M12" s="15"/>
    </row>
    <row r="13" spans="1:15" hidden="1">
      <c r="A13" s="56"/>
      <c r="B13" s="186"/>
      <c r="C13" s="198" t="s">
        <v>168</v>
      </c>
      <c r="D13" s="55">
        <f>((D12-VLOOKUP(D12,TablaMes,1))*VLOOKUP(D12,TablaMes,3))+VLOOKUP(D12,TablaMes,2)</f>
        <v>675.157872</v>
      </c>
      <c r="E13" s="55">
        <f>((E12-VLOOKUP(E12,TablaMes,1))*VLOOKUP(E12,TablaMes,3))+VLOOKUP(E12,TablaMes,2)</f>
        <v>675.157872</v>
      </c>
      <c r="F13" s="55">
        <f>((F12-VLOOKUP(F12,TablaMes,1))*VLOOKUP(F12,TablaMes,3))+VLOOKUP(F12,TablaMes,2)</f>
        <v>675.157872</v>
      </c>
      <c r="G13" s="55">
        <f>((G12-VLOOKUP(G12,TablaMes,1))*VLOOKUP(G12,TablaMes,3))+VLOOKUP(G12,TablaMes,2)</f>
        <v>675.157872</v>
      </c>
      <c r="H13" s="102"/>
      <c r="I13" s="175"/>
      <c r="J13" s="60"/>
      <c r="K13" s="4"/>
      <c r="L13" s="4"/>
      <c r="M13" s="15"/>
    </row>
    <row r="14" spans="1:15" ht="17" hidden="1" thickBot="1">
      <c r="A14" s="187"/>
      <c r="B14" s="188"/>
      <c r="C14" s="199" t="s">
        <v>169</v>
      </c>
      <c r="D14" s="107">
        <f>VLOOKUP(D12,SubMes,2)</f>
        <v>0</v>
      </c>
      <c r="E14" s="107">
        <f>VLOOKUP(E12,SubMes,2)</f>
        <v>0</v>
      </c>
      <c r="F14" s="107">
        <f>VLOOKUP(F12,SubMes,2)</f>
        <v>0</v>
      </c>
      <c r="G14" s="107">
        <f>VLOOKUP(G12,SubMes,2)</f>
        <v>0</v>
      </c>
      <c r="H14" s="104"/>
      <c r="I14" s="175"/>
      <c r="J14" s="60"/>
      <c r="K14" s="4"/>
      <c r="L14" s="4"/>
      <c r="M14" s="15"/>
    </row>
    <row r="15" spans="1:15">
      <c r="A15" s="77"/>
      <c r="B15" s="92"/>
      <c r="C15" s="101" t="s">
        <v>81</v>
      </c>
      <c r="D15" s="154">
        <f>D13/30.4*D11</f>
        <v>155.46398368421052</v>
      </c>
      <c r="E15" s="154">
        <f t="shared" ref="E15:G15" si="7">E13/30.4*E11</f>
        <v>155.46398368421052</v>
      </c>
      <c r="F15" s="154">
        <f t="shared" si="7"/>
        <v>155.46398368421052</v>
      </c>
      <c r="G15" s="154">
        <f t="shared" si="7"/>
        <v>155.46398368421052</v>
      </c>
      <c r="H15" s="102">
        <f t="shared" ref="H15:H27" si="8">SUM(D15:G15)</f>
        <v>621.85593473684207</v>
      </c>
      <c r="I15" s="174">
        <f>((I10-VLOOKUP(I10,TablaMes,1))*VLOOKUP(I10,TablaMes,3))+VLOOKUP(I10,TablaMes,2)</f>
        <v>596.82187199999998</v>
      </c>
      <c r="J15" s="59">
        <f>H15-I15</f>
        <v>25.034062736842088</v>
      </c>
      <c r="K15" s="4"/>
      <c r="L15" s="4"/>
      <c r="M15" s="15"/>
    </row>
    <row r="16" spans="1:15">
      <c r="A16" s="77"/>
      <c r="B16" s="92" t="s">
        <v>105</v>
      </c>
      <c r="C16" s="101" t="s">
        <v>62</v>
      </c>
      <c r="D16" s="98">
        <f>D14/30.4*D11</f>
        <v>0</v>
      </c>
      <c r="E16" s="98">
        <f t="shared" ref="E16:F16" si="9">E14/30.4*E11</f>
        <v>0</v>
      </c>
      <c r="F16" s="98">
        <f t="shared" si="9"/>
        <v>0</v>
      </c>
      <c r="G16" s="98">
        <f>IF(SUM(D16:F16)&gt;VLOOKUP(I10,SubMes,2),0,MIN((G14/30.4)*G11,VLOOKUP(I10,SubMes,2)-SUM(D16:F16)))</f>
        <v>0</v>
      </c>
      <c r="H16" s="102">
        <f t="shared" si="8"/>
        <v>0</v>
      </c>
      <c r="I16" s="175">
        <f>VLOOKUP(I10,SubMes,2)</f>
        <v>0</v>
      </c>
      <c r="J16" s="60">
        <f>H16-I16</f>
        <v>0</v>
      </c>
      <c r="K16" s="4"/>
      <c r="L16" s="4"/>
      <c r="M16" s="15"/>
    </row>
    <row r="17" spans="1:13">
      <c r="A17" s="77"/>
      <c r="B17" s="92" t="s">
        <v>105</v>
      </c>
      <c r="C17" s="101" t="s">
        <v>115</v>
      </c>
      <c r="D17" s="98"/>
      <c r="E17" s="98"/>
      <c r="F17" s="98"/>
      <c r="G17" s="98">
        <f>MIN(0,(J16*I33))*-1</f>
        <v>0</v>
      </c>
      <c r="H17" s="102">
        <f t="shared" si="8"/>
        <v>0</v>
      </c>
      <c r="I17" s="175"/>
      <c r="J17" s="96"/>
      <c r="K17" s="4"/>
      <c r="L17" s="4"/>
      <c r="M17" s="15"/>
    </row>
    <row r="18" spans="1:13">
      <c r="A18" s="77" t="s">
        <v>40</v>
      </c>
      <c r="B18" s="92" t="s">
        <v>42</v>
      </c>
      <c r="C18" s="101" t="s">
        <v>48</v>
      </c>
      <c r="D18" s="98">
        <f>MAX(0,+D15-D16)</f>
        <v>155.46398368421052</v>
      </c>
      <c r="E18" s="98">
        <f t="shared" ref="E18:F18" si="10">MAX(0,+E15-E16)</f>
        <v>155.46398368421052</v>
      </c>
      <c r="F18" s="98">
        <f t="shared" si="10"/>
        <v>155.46398368421052</v>
      </c>
      <c r="G18" s="98">
        <f>MAX(0,+G15-G16)</f>
        <v>155.46398368421052</v>
      </c>
      <c r="H18" s="102">
        <f t="shared" si="8"/>
        <v>621.85593473684207</v>
      </c>
      <c r="I18" s="175">
        <f>MAX(0,+I15-I16)</f>
        <v>596.82187199999998</v>
      </c>
      <c r="J18" s="60">
        <f>H18-I18</f>
        <v>25.034062736842088</v>
      </c>
      <c r="K18" s="4"/>
      <c r="L18" s="4"/>
      <c r="M18" s="15"/>
    </row>
    <row r="19" spans="1:13">
      <c r="A19" s="77" t="s">
        <v>40</v>
      </c>
      <c r="B19" s="92" t="s">
        <v>42</v>
      </c>
      <c r="C19" s="101" t="s">
        <v>180</v>
      </c>
      <c r="D19" s="98"/>
      <c r="E19" s="98"/>
      <c r="F19" s="98"/>
      <c r="G19" s="98">
        <f>MAX(0,(J18*-1)*I36)</f>
        <v>0</v>
      </c>
      <c r="H19" s="102">
        <f t="shared" si="8"/>
        <v>0</v>
      </c>
      <c r="I19" s="175"/>
      <c r="J19" s="60"/>
      <c r="K19" s="4"/>
      <c r="L19" s="4"/>
      <c r="M19" s="15"/>
    </row>
    <row r="20" spans="1:13">
      <c r="A20" s="77" t="s">
        <v>40</v>
      </c>
      <c r="B20" s="92" t="s">
        <v>43</v>
      </c>
      <c r="C20" s="101" t="s">
        <v>49</v>
      </c>
      <c r="D20" s="98">
        <f>MAX(0,D16-D15)</f>
        <v>0</v>
      </c>
      <c r="E20" s="98">
        <f t="shared" ref="E20:F20" si="11">MAX(0,E16-E15)</f>
        <v>0</v>
      </c>
      <c r="F20" s="98">
        <f t="shared" si="11"/>
        <v>0</v>
      </c>
      <c r="G20" s="98">
        <f>MIN(MAX(0,G16-G15),MAX(0,I20-SUM(D20:D20)))</f>
        <v>0</v>
      </c>
      <c r="H20" s="102">
        <f t="shared" si="8"/>
        <v>0</v>
      </c>
      <c r="I20" s="175">
        <f>MAX(0,I16-I15)</f>
        <v>0</v>
      </c>
      <c r="J20" s="60">
        <f>H20-I20</f>
        <v>0</v>
      </c>
      <c r="K20" s="4"/>
      <c r="L20" s="4"/>
      <c r="M20" s="15"/>
    </row>
    <row r="21" spans="1:13" ht="17" thickBot="1">
      <c r="A21" s="78" t="s">
        <v>40</v>
      </c>
      <c r="B21" s="93" t="s">
        <v>43</v>
      </c>
      <c r="C21" s="101" t="s">
        <v>114</v>
      </c>
      <c r="D21" s="98"/>
      <c r="E21" s="98"/>
      <c r="F21" s="98"/>
      <c r="G21" s="98">
        <f>MIN(0,(J20*I34))*-1</f>
        <v>0</v>
      </c>
      <c r="H21" s="102">
        <f t="shared" si="8"/>
        <v>0</v>
      </c>
      <c r="I21" s="191"/>
      <c r="J21" s="97"/>
      <c r="K21" s="4"/>
      <c r="L21" s="4"/>
      <c r="M21" s="15"/>
    </row>
    <row r="22" spans="1:13">
      <c r="A22" s="147" t="s">
        <v>82</v>
      </c>
      <c r="B22" s="148" t="s">
        <v>42</v>
      </c>
      <c r="C22" s="99" t="s">
        <v>50</v>
      </c>
      <c r="D22" s="100"/>
      <c r="E22" s="100"/>
      <c r="F22" s="100"/>
      <c r="G22" s="100">
        <f>MAX(0,J16)</f>
        <v>0</v>
      </c>
      <c r="H22" s="105">
        <f t="shared" si="8"/>
        <v>0</v>
      </c>
      <c r="I22" s="192"/>
      <c r="J22" s="59"/>
      <c r="K22" s="4"/>
      <c r="L22" s="4"/>
      <c r="M22" s="15"/>
    </row>
    <row r="23" spans="1:13">
      <c r="A23" s="149" t="s">
        <v>40</v>
      </c>
      <c r="B23" s="150" t="s">
        <v>42</v>
      </c>
      <c r="C23" s="101" t="s">
        <v>92</v>
      </c>
      <c r="D23" s="98"/>
      <c r="E23" s="98"/>
      <c r="F23" s="98"/>
      <c r="G23" s="98">
        <f>MAX(0,G22-G25)</f>
        <v>0</v>
      </c>
      <c r="H23" s="102">
        <f t="shared" si="8"/>
        <v>0</v>
      </c>
      <c r="I23" s="16"/>
      <c r="J23" s="60"/>
      <c r="K23" s="4"/>
      <c r="L23" s="4"/>
      <c r="M23" s="15"/>
    </row>
    <row r="24" spans="1:13">
      <c r="A24" s="149" t="s">
        <v>90</v>
      </c>
      <c r="B24" s="150" t="s">
        <v>43</v>
      </c>
      <c r="C24" s="101" t="s">
        <v>32</v>
      </c>
      <c r="D24" s="98"/>
      <c r="E24" s="98"/>
      <c r="F24" s="98"/>
      <c r="G24" s="98">
        <f>G23</f>
        <v>0</v>
      </c>
      <c r="H24" s="102">
        <f t="shared" si="8"/>
        <v>0</v>
      </c>
      <c r="I24" s="16"/>
      <c r="J24" s="96"/>
      <c r="L24" s="4"/>
      <c r="M24" s="15"/>
    </row>
    <row r="25" spans="1:13">
      <c r="A25" s="149" t="s">
        <v>83</v>
      </c>
      <c r="B25" s="150" t="s">
        <v>42</v>
      </c>
      <c r="C25" s="101" t="s">
        <v>128</v>
      </c>
      <c r="D25" s="98"/>
      <c r="E25" s="98"/>
      <c r="F25" s="98"/>
      <c r="G25" s="98">
        <f>MAX(0,J20)</f>
        <v>0</v>
      </c>
      <c r="H25" s="102">
        <f t="shared" si="8"/>
        <v>0</v>
      </c>
      <c r="I25" s="16"/>
      <c r="J25" s="60"/>
      <c r="K25" s="4"/>
      <c r="L25" s="4"/>
      <c r="M25" s="15"/>
    </row>
    <row r="26" spans="1:13">
      <c r="A26" s="149" t="s">
        <v>91</v>
      </c>
      <c r="B26" s="150" t="s">
        <v>43</v>
      </c>
      <c r="C26" s="101" t="s">
        <v>89</v>
      </c>
      <c r="D26" s="98"/>
      <c r="E26" s="98"/>
      <c r="F26" s="98"/>
      <c r="G26" s="98">
        <f>IF(H37="No",MIN(G22,G25), IF(G22=0,0,G25))</f>
        <v>0</v>
      </c>
      <c r="H26" s="102">
        <f t="shared" si="8"/>
        <v>0</v>
      </c>
      <c r="I26" s="16"/>
      <c r="J26" s="60"/>
      <c r="K26" s="4"/>
      <c r="L26" s="4"/>
      <c r="M26" s="15"/>
    </row>
    <row r="27" spans="1:13" ht="23.25" customHeight="1" thickBot="1">
      <c r="A27" s="151" t="s">
        <v>39</v>
      </c>
      <c r="B27" s="152" t="s">
        <v>43</v>
      </c>
      <c r="C27" s="178" t="s">
        <v>112</v>
      </c>
      <c r="D27" s="103"/>
      <c r="E27" s="103"/>
      <c r="F27" s="103"/>
      <c r="G27" s="103">
        <f>MAX(0,(H18+G23-I18)*I35)</f>
        <v>0</v>
      </c>
      <c r="H27" s="104">
        <f t="shared" si="8"/>
        <v>0</v>
      </c>
      <c r="I27" s="193"/>
      <c r="J27" s="57"/>
      <c r="K27" s="4"/>
      <c r="L27" s="4"/>
      <c r="M27" s="15"/>
    </row>
    <row r="28" spans="1:13">
      <c r="A28" s="85"/>
      <c r="B28" s="86"/>
      <c r="C28" s="86" t="s">
        <v>100</v>
      </c>
      <c r="D28" s="86">
        <f t="shared" ref="D28:F28" si="12">+D10+D20+D21+D24+D26+D27</f>
        <v>2100</v>
      </c>
      <c r="E28" s="86">
        <f t="shared" si="12"/>
        <v>2100</v>
      </c>
      <c r="F28" s="86">
        <f t="shared" si="12"/>
        <v>2100</v>
      </c>
      <c r="G28" s="86">
        <f>+G10+G20+G21+G24+G26+G27</f>
        <v>2100</v>
      </c>
      <c r="H28" s="86"/>
      <c r="I28" s="84"/>
      <c r="J28" s="59"/>
      <c r="K28" s="4"/>
      <c r="L28" s="4"/>
      <c r="M28" s="15"/>
    </row>
    <row r="29" spans="1:13">
      <c r="A29" s="87"/>
      <c r="B29" s="53"/>
      <c r="C29" s="53" t="s">
        <v>101</v>
      </c>
      <c r="D29" s="53">
        <f t="shared" ref="D29:F29" si="13">+D18+D19+D22+D23+D25</f>
        <v>155.46398368421052</v>
      </c>
      <c r="E29" s="53">
        <f t="shared" si="13"/>
        <v>155.46398368421052</v>
      </c>
      <c r="F29" s="53">
        <f t="shared" si="13"/>
        <v>155.46398368421052</v>
      </c>
      <c r="G29" s="53">
        <f>+G18+G19+G22+G23+G25</f>
        <v>155.46398368421052</v>
      </c>
      <c r="H29" s="53"/>
      <c r="I29" s="83"/>
      <c r="J29" s="60"/>
      <c r="K29" s="4"/>
      <c r="L29" s="4"/>
      <c r="M29" s="15"/>
    </row>
    <row r="30" spans="1:13" ht="17" thickBot="1">
      <c r="A30" s="88"/>
      <c r="B30" s="61"/>
      <c r="C30" s="89" t="s">
        <v>103</v>
      </c>
      <c r="D30" s="90">
        <f t="shared" ref="D30:G30" si="14">+D28-D29</f>
        <v>1944.5360163157895</v>
      </c>
      <c r="E30" s="90">
        <f t="shared" si="14"/>
        <v>1944.5360163157895</v>
      </c>
      <c r="F30" s="90">
        <f t="shared" si="14"/>
        <v>1944.5360163157895</v>
      </c>
      <c r="G30" s="90">
        <f t="shared" si="14"/>
        <v>1944.5360163157895</v>
      </c>
      <c r="H30" s="90">
        <f>SUM(D30:G30)</f>
        <v>7778.1440652631582</v>
      </c>
      <c r="I30" s="91"/>
      <c r="J30" s="57"/>
      <c r="K30" s="4"/>
      <c r="L30" s="4"/>
      <c r="M30" s="15"/>
    </row>
    <row r="31" spans="1:13">
      <c r="I31" s="53"/>
      <c r="J31" s="16"/>
      <c r="K31" s="4"/>
      <c r="L31" s="4"/>
      <c r="M31" s="15"/>
    </row>
    <row r="32" spans="1:13">
      <c r="I32" s="53"/>
      <c r="J32" s="16"/>
      <c r="K32" s="4"/>
      <c r="L32" s="4"/>
      <c r="M32" s="15"/>
    </row>
    <row r="33" spans="1:15">
      <c r="A33" s="52" t="s">
        <v>125</v>
      </c>
      <c r="B33" s="14"/>
      <c r="G33" s="4"/>
      <c r="H33" s="146" t="s">
        <v>165</v>
      </c>
      <c r="I33" s="173">
        <f>IF(H33="si",1,0)</f>
        <v>0</v>
      </c>
      <c r="J33" s="13"/>
      <c r="K33" s="13"/>
      <c r="L33" s="4"/>
      <c r="N33" s="4"/>
      <c r="O33" s="4"/>
    </row>
    <row r="34" spans="1:15">
      <c r="A34" s="52" t="s">
        <v>126</v>
      </c>
      <c r="B34" s="14"/>
      <c r="G34" s="4"/>
      <c r="H34" s="146" t="s">
        <v>165</v>
      </c>
      <c r="I34" s="173">
        <f>IF(H34="si",1,0)</f>
        <v>0</v>
      </c>
      <c r="J34" s="13"/>
      <c r="K34" s="13"/>
      <c r="L34" s="4"/>
      <c r="N34" s="4"/>
      <c r="O34" s="4"/>
    </row>
    <row r="35" spans="1:15">
      <c r="A35" s="52" t="s">
        <v>182</v>
      </c>
      <c r="B35" s="14"/>
      <c r="G35" s="4"/>
      <c r="H35" s="146" t="s">
        <v>165</v>
      </c>
      <c r="I35" s="173">
        <f>IF(H35="si",1,0)</f>
        <v>0</v>
      </c>
      <c r="J35" s="13"/>
      <c r="K35" s="13"/>
      <c r="L35" s="4"/>
      <c r="N35" s="4"/>
      <c r="O35" s="4"/>
    </row>
    <row r="36" spans="1:15">
      <c r="A36" s="52" t="s">
        <v>181</v>
      </c>
      <c r="H36" s="146" t="s">
        <v>144</v>
      </c>
      <c r="I36" s="173">
        <f>IF(H36="si",1,0)</f>
        <v>1</v>
      </c>
    </row>
    <row r="37" spans="1:15">
      <c r="A37" s="52" t="s">
        <v>177</v>
      </c>
      <c r="H37" s="146" t="s">
        <v>165</v>
      </c>
      <c r="I37" s="1"/>
    </row>
    <row r="38" spans="1:15">
      <c r="A38" s="52" t="s">
        <v>170</v>
      </c>
      <c r="H38" s="201" t="s">
        <v>58</v>
      </c>
      <c r="I38" s="1"/>
    </row>
    <row r="39" spans="1:15">
      <c r="H39" s="1"/>
      <c r="I39" s="1"/>
      <c r="J39" s="1"/>
    </row>
    <row r="40" spans="1:15">
      <c r="A40" s="52"/>
    </row>
  </sheetData>
  <sheetProtection algorithmName="SHA-512" hashValue="aN6uIc6WzrgETbV7XbMGN578xlORTuFgZmRSVIVmn2QcYJxj3iRoEj4CI7CxiV9240lPMja8FBmQPhJAnJaLWg==" saltValue="OYJHvXABGDLn12bsRzLT5w==" spinCount="100000" sheet="1" objects="1" scenarios="1"/>
  <dataValidations count="2">
    <dataValidation type="list" allowBlank="1" showInputMessage="1" showErrorMessage="1" errorTitle="Error al Elegir Opción" error="Usted solo puede escoger &quot;Si&quot; o &quot;No&quot;_x000a_" sqref="H33:H37" xr:uid="{1829C935-E74B-4903-881E-6F54296FC96C}">
      <formula1>ListaOp</formula1>
    </dataValidation>
    <dataValidation type="list" allowBlank="1" showInputMessage="1" showErrorMessage="1" errorTitle="Error al Elegir Opción" error="Usted solo puede escoger &quot;Si&quot; o &quot;No&quot;_x000a_" sqref="H38" xr:uid="{18BF6B7A-2282-4FDA-AE6E-39C129F03CC1}">
      <formula1>ListaOP2</formula1>
    </dataValidation>
  </dataValidations>
  <printOptions horizontalCentered="1" verticalCentered="1" gridLinesSet="0"/>
  <pageMargins left="0.25" right="0.25" top="0.75" bottom="0.75" header="0.3" footer="0.3"/>
  <pageSetup scale="84" orientation="landscape" r:id="rId1"/>
  <headerFooter alignWithMargins="0">
    <oddHeader>&amp;C&amp;"Helv,Negrita"&amp;16
&amp;"Arial Black,Negrita"&amp;24&amp;K03+058GENERACION
 DE CONOCIMIENTO
CONTPAQI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0A11-AFE2-42C0-ADA8-3A54F8A9EA14}">
  <sheetPr>
    <pageSetUpPr fitToPage="1"/>
  </sheetPr>
  <dimension ref="A1:M40"/>
  <sheetViews>
    <sheetView showGridLines="0" topLeftCell="A3" zoomScale="70" zoomScaleNormal="70" workbookViewId="0">
      <selection activeCell="D8" sqref="D8"/>
    </sheetView>
  </sheetViews>
  <sheetFormatPr baseColWidth="10" defaultColWidth="9.7109375" defaultRowHeight="16"/>
  <cols>
    <col min="1" max="1" width="12.140625" style="1" customWidth="1"/>
    <col min="2" max="2" width="12.7109375" style="1" customWidth="1"/>
    <col min="3" max="3" width="31.28515625" style="1" bestFit="1" customWidth="1"/>
    <col min="4" max="4" width="11.85546875" style="1" bestFit="1" customWidth="1"/>
    <col min="5" max="5" width="11.5703125" style="1" customWidth="1"/>
    <col min="6" max="9" width="10" style="3" customWidth="1"/>
    <col min="10" max="10" width="10.140625" style="1" customWidth="1"/>
    <col min="11" max="16384" width="9.7109375" style="1"/>
  </cols>
  <sheetData>
    <row r="1" spans="1:13">
      <c r="A1" s="51" t="s">
        <v>134</v>
      </c>
      <c r="D1" s="4"/>
      <c r="E1" s="4"/>
      <c r="F1" s="13"/>
      <c r="G1" s="13"/>
      <c r="H1" s="13"/>
      <c r="I1" s="13"/>
      <c r="J1" s="4"/>
      <c r="L1" s="4"/>
      <c r="M1" s="4"/>
    </row>
    <row r="2" spans="1:13">
      <c r="A2" s="51"/>
      <c r="D2" s="4"/>
      <c r="E2" s="4"/>
      <c r="F2" s="13"/>
      <c r="G2" s="13"/>
      <c r="H2" s="13"/>
      <c r="I2" s="13"/>
      <c r="J2" s="4"/>
      <c r="L2" s="4"/>
      <c r="M2" s="4"/>
    </row>
    <row r="3" spans="1:13" ht="17" thickBot="1">
      <c r="A3" s="14"/>
      <c r="B3" s="14"/>
      <c r="C3" s="106"/>
      <c r="D3" s="181" t="s">
        <v>179</v>
      </c>
      <c r="E3" s="182"/>
      <c r="F3" s="12"/>
      <c r="G3" s="12"/>
      <c r="H3" s="12"/>
      <c r="I3" s="12"/>
      <c r="J3" s="4"/>
      <c r="K3" s="4"/>
      <c r="L3" s="4"/>
      <c r="M3" s="15"/>
    </row>
    <row r="4" spans="1:13" ht="29" thickBot="1">
      <c r="A4" s="79" t="s">
        <v>44</v>
      </c>
      <c r="B4" s="80" t="s">
        <v>45</v>
      </c>
      <c r="C4" s="176" t="s">
        <v>51</v>
      </c>
      <c r="D4" s="180">
        <v>1</v>
      </c>
      <c r="E4" s="180">
        <v>2</v>
      </c>
      <c r="F4" s="177" t="s">
        <v>79</v>
      </c>
      <c r="G4" s="81" t="s">
        <v>113</v>
      </c>
      <c r="H4" s="82" t="s">
        <v>80</v>
      </c>
      <c r="I4" s="4"/>
      <c r="J4" s="4"/>
      <c r="K4" s="15"/>
    </row>
    <row r="5" spans="1:13">
      <c r="A5" s="58"/>
      <c r="B5" s="184"/>
      <c r="C5" s="99" t="s">
        <v>178</v>
      </c>
      <c r="D5" s="194">
        <v>15</v>
      </c>
      <c r="E5" s="194">
        <v>15</v>
      </c>
      <c r="F5" s="195"/>
      <c r="G5" s="174"/>
      <c r="H5" s="94"/>
      <c r="I5" s="4"/>
      <c r="J5" s="4"/>
      <c r="K5" s="15"/>
    </row>
    <row r="6" spans="1:13">
      <c r="A6" s="56"/>
      <c r="B6" s="185"/>
      <c r="C6" s="101" t="s">
        <v>58</v>
      </c>
      <c r="D6" s="153">
        <v>15</v>
      </c>
      <c r="E6" s="153">
        <v>15</v>
      </c>
      <c r="F6" s="196"/>
      <c r="G6" s="175"/>
      <c r="H6" s="95"/>
      <c r="I6" s="4"/>
      <c r="J6" s="4"/>
      <c r="K6" s="15"/>
    </row>
    <row r="7" spans="1:13">
      <c r="A7" s="56"/>
      <c r="B7" s="185"/>
      <c r="C7" s="101" t="s">
        <v>10</v>
      </c>
      <c r="D7" s="153">
        <v>200</v>
      </c>
      <c r="E7" s="153">
        <f>D7</f>
        <v>200</v>
      </c>
      <c r="F7" s="196"/>
      <c r="G7" s="175"/>
      <c r="H7" s="95"/>
      <c r="I7" s="62"/>
      <c r="J7" s="4"/>
      <c r="K7" s="15"/>
    </row>
    <row r="8" spans="1:13">
      <c r="A8" s="56"/>
      <c r="B8" s="185"/>
      <c r="C8" s="101" t="s">
        <v>52</v>
      </c>
      <c r="D8" s="98">
        <f>D6*D7</f>
        <v>3000</v>
      </c>
      <c r="E8" s="98">
        <f>E6*E7</f>
        <v>3000</v>
      </c>
      <c r="F8" s="196"/>
      <c r="G8" s="175"/>
      <c r="H8" s="95"/>
      <c r="I8" s="4"/>
      <c r="J8" s="4"/>
      <c r="K8" s="15"/>
    </row>
    <row r="9" spans="1:13">
      <c r="A9" s="56" t="s">
        <v>47</v>
      </c>
      <c r="B9" s="186" t="s">
        <v>46</v>
      </c>
      <c r="C9" s="101" t="s">
        <v>53</v>
      </c>
      <c r="D9" s="153"/>
      <c r="E9" s="153"/>
      <c r="F9" s="102"/>
      <c r="G9" s="175"/>
      <c r="H9" s="95"/>
      <c r="I9" s="4"/>
      <c r="J9" s="4"/>
      <c r="K9" s="15"/>
    </row>
    <row r="10" spans="1:13" ht="17" thickBot="1">
      <c r="A10" s="189" t="s">
        <v>47</v>
      </c>
      <c r="B10" s="190" t="s">
        <v>46</v>
      </c>
      <c r="C10" s="200" t="s">
        <v>54</v>
      </c>
      <c r="D10" s="103">
        <f>+D9+D8</f>
        <v>3000</v>
      </c>
      <c r="E10" s="103">
        <f>+E9+E8</f>
        <v>3000</v>
      </c>
      <c r="F10" s="104">
        <f>SUM(D10:E10)</f>
        <v>6000</v>
      </c>
      <c r="G10" s="175">
        <f>F10</f>
        <v>6000</v>
      </c>
      <c r="H10" s="60"/>
      <c r="I10" s="4"/>
      <c r="J10" s="4"/>
      <c r="K10" s="15"/>
    </row>
    <row r="11" spans="1:13" hidden="1">
      <c r="A11" s="56"/>
      <c r="B11" s="186"/>
      <c r="C11" s="101" t="s">
        <v>176</v>
      </c>
      <c r="D11" s="98">
        <f>VLOOKUP($F$38,DiasCalculo,+D$4+1,0)</f>
        <v>15</v>
      </c>
      <c r="E11" s="98">
        <f>VLOOKUP($F$38,DiasCalculo,+E$4+1,0)</f>
        <v>15</v>
      </c>
      <c r="F11" s="102"/>
      <c r="G11" s="175"/>
      <c r="H11" s="60"/>
      <c r="I11" s="4"/>
      <c r="J11" s="4"/>
      <c r="K11" s="15"/>
    </row>
    <row r="12" spans="1:13" hidden="1">
      <c r="A12" s="56"/>
      <c r="B12" s="186"/>
      <c r="C12" s="197" t="s">
        <v>167</v>
      </c>
      <c r="D12" s="55">
        <f>D10/D11*30.4</f>
        <v>6080</v>
      </c>
      <c r="E12" s="55">
        <f>E10/E11*30.4</f>
        <v>6080</v>
      </c>
      <c r="F12" s="102"/>
      <c r="G12" s="175"/>
      <c r="H12" s="60"/>
      <c r="I12" s="4"/>
      <c r="J12" s="4"/>
      <c r="K12" s="15"/>
    </row>
    <row r="13" spans="1:13" hidden="1">
      <c r="A13" s="56"/>
      <c r="B13" s="186"/>
      <c r="C13" s="198" t="s">
        <v>168</v>
      </c>
      <c r="D13" s="55">
        <f>((D12-VLOOKUP(D12,TablaMes,1))*VLOOKUP(D12,TablaMes,3))+VLOOKUP(D12,TablaMes,2)</f>
        <v>355.69279999999998</v>
      </c>
      <c r="E13" s="55">
        <f>((E12-VLOOKUP(E12,TablaMes,1))*VLOOKUP(E12,TablaMes,3))+VLOOKUP(E12,TablaMes,2)</f>
        <v>355.69279999999998</v>
      </c>
      <c r="F13" s="102"/>
      <c r="G13" s="175"/>
      <c r="H13" s="60"/>
      <c r="I13" s="4"/>
      <c r="J13" s="4"/>
      <c r="K13" s="15"/>
    </row>
    <row r="14" spans="1:13" ht="17" hidden="1" thickBot="1">
      <c r="A14" s="187"/>
      <c r="B14" s="188"/>
      <c r="C14" s="199" t="s">
        <v>169</v>
      </c>
      <c r="D14" s="107">
        <f>VLOOKUP(D12,SubMes,2)</f>
        <v>294.63</v>
      </c>
      <c r="E14" s="107">
        <f>VLOOKUP(E12,SubMes,2)</f>
        <v>294.63</v>
      </c>
      <c r="F14" s="104"/>
      <c r="G14" s="175"/>
      <c r="H14" s="60"/>
      <c r="I14" s="4"/>
      <c r="J14" s="4"/>
      <c r="K14" s="15"/>
    </row>
    <row r="15" spans="1:13">
      <c r="A15" s="77"/>
      <c r="B15" s="92"/>
      <c r="C15" s="101" t="s">
        <v>81</v>
      </c>
      <c r="D15" s="154">
        <f>D13/30.4*D11</f>
        <v>175.50631578947369</v>
      </c>
      <c r="E15" s="154">
        <f t="shared" ref="E15" si="0">E13/30.4*E11</f>
        <v>175.50631578947369</v>
      </c>
      <c r="F15" s="102">
        <f t="shared" ref="F15:F27" si="1">SUM(D15:E15)</f>
        <v>351.01263157894738</v>
      </c>
      <c r="G15" s="174">
        <f>((G10-VLOOKUP(G10,TablaMes,1))*VLOOKUP(G10,TablaMes,3))+VLOOKUP(G10,TablaMes,2)</f>
        <v>350.57279999999997</v>
      </c>
      <c r="H15" s="59">
        <f>F15-G15</f>
        <v>0.43983157894740543</v>
      </c>
      <c r="I15" s="4"/>
      <c r="J15" s="4"/>
      <c r="K15" s="15"/>
    </row>
    <row r="16" spans="1:13">
      <c r="A16" s="77"/>
      <c r="B16" s="92" t="s">
        <v>105</v>
      </c>
      <c r="C16" s="101" t="s">
        <v>62</v>
      </c>
      <c r="D16" s="98">
        <f>D14/30.4*D11</f>
        <v>145.37664473684211</v>
      </c>
      <c r="E16" s="98">
        <f>IF(SUM(D16:D16)&gt;VLOOKUP(G10,SubMes,2),0,MIN((E14/30.4)*E11,VLOOKUP(G10,SubMes,2)-SUM(D16:D16)))</f>
        <v>145.37664473684211</v>
      </c>
      <c r="F16" s="102">
        <f t="shared" si="1"/>
        <v>290.75328947368422</v>
      </c>
      <c r="G16" s="175">
        <f>VLOOKUP(G10,SubMes,2)</f>
        <v>294.63</v>
      </c>
      <c r="H16" s="60">
        <f>F16-G16</f>
        <v>-3.876710526315776</v>
      </c>
      <c r="I16" s="4"/>
      <c r="J16" s="4"/>
      <c r="K16" s="15"/>
    </row>
    <row r="17" spans="1:11">
      <c r="A17" s="77"/>
      <c r="B17" s="92" t="s">
        <v>105</v>
      </c>
      <c r="C17" s="101" t="s">
        <v>115</v>
      </c>
      <c r="D17" s="98"/>
      <c r="E17" s="98">
        <f>MIN(0,(H16*G33))*-1</f>
        <v>0</v>
      </c>
      <c r="F17" s="102">
        <f t="shared" si="1"/>
        <v>0</v>
      </c>
      <c r="G17" s="175"/>
      <c r="H17" s="96"/>
      <c r="I17" s="4"/>
      <c r="J17" s="4"/>
      <c r="K17" s="15"/>
    </row>
    <row r="18" spans="1:11">
      <c r="A18" s="77" t="s">
        <v>40</v>
      </c>
      <c r="B18" s="92" t="s">
        <v>42</v>
      </c>
      <c r="C18" s="101" t="s">
        <v>48</v>
      </c>
      <c r="D18" s="98">
        <f>MAX(0,+D15-D16)</f>
        <v>30.129671052631579</v>
      </c>
      <c r="E18" s="98">
        <f>MAX(0,+E15-E16)</f>
        <v>30.129671052631579</v>
      </c>
      <c r="F18" s="102">
        <f t="shared" si="1"/>
        <v>60.259342105263158</v>
      </c>
      <c r="G18" s="175">
        <f>MAX(0,+G15-G16)</f>
        <v>55.942799999999977</v>
      </c>
      <c r="H18" s="60">
        <f>F18-G18</f>
        <v>4.3165421052631814</v>
      </c>
      <c r="I18" s="4"/>
      <c r="J18" s="4"/>
      <c r="K18" s="15"/>
    </row>
    <row r="19" spans="1:11">
      <c r="A19" s="77" t="s">
        <v>40</v>
      </c>
      <c r="B19" s="92" t="s">
        <v>42</v>
      </c>
      <c r="C19" s="101" t="s">
        <v>180</v>
      </c>
      <c r="D19" s="98"/>
      <c r="E19" s="98">
        <f>MAX(0,(H18*-1)*G36)</f>
        <v>0</v>
      </c>
      <c r="F19" s="102">
        <f t="shared" si="1"/>
        <v>0</v>
      </c>
      <c r="G19" s="175"/>
      <c r="H19" s="60"/>
      <c r="I19" s="4"/>
      <c r="J19" s="4"/>
      <c r="K19" s="15"/>
    </row>
    <row r="20" spans="1:11">
      <c r="A20" s="77" t="s">
        <v>40</v>
      </c>
      <c r="B20" s="92" t="s">
        <v>43</v>
      </c>
      <c r="C20" s="101" t="s">
        <v>49</v>
      </c>
      <c r="D20" s="98">
        <f>MAX(0,D16-D15)</f>
        <v>0</v>
      </c>
      <c r="E20" s="98">
        <f>MIN(MAX(0,E16-E15),MAX(0,G20-SUM(D20:D20)))</f>
        <v>0</v>
      </c>
      <c r="F20" s="102">
        <f t="shared" si="1"/>
        <v>0</v>
      </c>
      <c r="G20" s="175">
        <f>MAX(0,G16-G15)</f>
        <v>0</v>
      </c>
      <c r="H20" s="60">
        <f>F20-G20</f>
        <v>0</v>
      </c>
      <c r="I20" s="4"/>
      <c r="J20" s="4"/>
      <c r="K20" s="15"/>
    </row>
    <row r="21" spans="1:11" ht="17" thickBot="1">
      <c r="A21" s="78" t="s">
        <v>40</v>
      </c>
      <c r="B21" s="93" t="s">
        <v>43</v>
      </c>
      <c r="C21" s="101" t="s">
        <v>114</v>
      </c>
      <c r="D21" s="98"/>
      <c r="E21" s="98">
        <f>MIN(0,(H20*G34))*-1</f>
        <v>0</v>
      </c>
      <c r="F21" s="102">
        <f t="shared" si="1"/>
        <v>0</v>
      </c>
      <c r="G21" s="191"/>
      <c r="H21" s="97"/>
      <c r="I21" s="4"/>
      <c r="J21" s="4"/>
      <c r="K21" s="15"/>
    </row>
    <row r="22" spans="1:11">
      <c r="A22" s="147" t="s">
        <v>82</v>
      </c>
      <c r="B22" s="148" t="s">
        <v>42</v>
      </c>
      <c r="C22" s="99" t="s">
        <v>50</v>
      </c>
      <c r="D22" s="100"/>
      <c r="E22" s="100">
        <f>MAX(0,H16)</f>
        <v>0</v>
      </c>
      <c r="F22" s="105">
        <f t="shared" si="1"/>
        <v>0</v>
      </c>
      <c r="G22" s="192"/>
      <c r="H22" s="59"/>
      <c r="I22" s="4"/>
      <c r="J22" s="4"/>
      <c r="K22" s="15"/>
    </row>
    <row r="23" spans="1:11">
      <c r="A23" s="149" t="s">
        <v>40</v>
      </c>
      <c r="B23" s="150" t="s">
        <v>42</v>
      </c>
      <c r="C23" s="101" t="s">
        <v>92</v>
      </c>
      <c r="D23" s="98"/>
      <c r="E23" s="98">
        <f>MAX(0,E22-E25)</f>
        <v>0</v>
      </c>
      <c r="F23" s="102">
        <f t="shared" si="1"/>
        <v>0</v>
      </c>
      <c r="G23" s="16"/>
      <c r="H23" s="60"/>
      <c r="I23" s="4"/>
      <c r="J23" s="4"/>
      <c r="K23" s="15"/>
    </row>
    <row r="24" spans="1:11">
      <c r="A24" s="149" t="s">
        <v>90</v>
      </c>
      <c r="B24" s="150" t="s">
        <v>43</v>
      </c>
      <c r="C24" s="101" t="s">
        <v>32</v>
      </c>
      <c r="D24" s="98"/>
      <c r="E24" s="98">
        <f>E23</f>
        <v>0</v>
      </c>
      <c r="F24" s="102">
        <f t="shared" si="1"/>
        <v>0</v>
      </c>
      <c r="G24" s="16"/>
      <c r="H24" s="96"/>
      <c r="J24" s="4"/>
      <c r="K24" s="15"/>
    </row>
    <row r="25" spans="1:11">
      <c r="A25" s="149" t="s">
        <v>83</v>
      </c>
      <c r="B25" s="150" t="s">
        <v>42</v>
      </c>
      <c r="C25" s="101" t="s">
        <v>128</v>
      </c>
      <c r="D25" s="98"/>
      <c r="E25" s="98">
        <f>MAX(0,H20)</f>
        <v>0</v>
      </c>
      <c r="F25" s="102">
        <f t="shared" si="1"/>
        <v>0</v>
      </c>
      <c r="G25" s="16"/>
      <c r="H25" s="60"/>
      <c r="I25" s="4"/>
      <c r="J25" s="4"/>
      <c r="K25" s="15"/>
    </row>
    <row r="26" spans="1:11">
      <c r="A26" s="149" t="s">
        <v>91</v>
      </c>
      <c r="B26" s="150" t="s">
        <v>43</v>
      </c>
      <c r="C26" s="101" t="s">
        <v>89</v>
      </c>
      <c r="D26" s="98"/>
      <c r="E26" s="98">
        <f>IF(F37="No",MIN(E22,E25), IF(E22=0,0,E25))</f>
        <v>0</v>
      </c>
      <c r="F26" s="102">
        <f t="shared" si="1"/>
        <v>0</v>
      </c>
      <c r="G26" s="16"/>
      <c r="H26" s="60"/>
      <c r="I26" s="4"/>
      <c r="J26" s="4"/>
      <c r="K26" s="15"/>
    </row>
    <row r="27" spans="1:11" ht="23.25" customHeight="1" thickBot="1">
      <c r="A27" s="151" t="s">
        <v>39</v>
      </c>
      <c r="B27" s="152" t="s">
        <v>43</v>
      </c>
      <c r="C27" s="178" t="s">
        <v>112</v>
      </c>
      <c r="D27" s="103"/>
      <c r="E27" s="103">
        <f>MAX(0,(F18+E23-G18)*G35)</f>
        <v>0</v>
      </c>
      <c r="F27" s="104">
        <f t="shared" si="1"/>
        <v>0</v>
      </c>
      <c r="G27" s="193"/>
      <c r="H27" s="57"/>
      <c r="I27" s="4"/>
      <c r="J27" s="4"/>
      <c r="K27" s="15"/>
    </row>
    <row r="28" spans="1:11">
      <c r="A28" s="85"/>
      <c r="B28" s="86"/>
      <c r="C28" s="86" t="s">
        <v>100</v>
      </c>
      <c r="D28" s="86">
        <f t="shared" ref="D28" si="2">+D10+D20+D21+D24+D26+D27</f>
        <v>3000</v>
      </c>
      <c r="E28" s="86">
        <f>+E10+E20+E21+E24+E26+E27</f>
        <v>3000</v>
      </c>
      <c r="F28" s="86"/>
      <c r="G28" s="84"/>
      <c r="H28" s="59"/>
      <c r="I28" s="4"/>
      <c r="J28" s="4"/>
      <c r="K28" s="15"/>
    </row>
    <row r="29" spans="1:11">
      <c r="A29" s="87"/>
      <c r="B29" s="53"/>
      <c r="C29" s="53" t="s">
        <v>101</v>
      </c>
      <c r="D29" s="53">
        <f t="shared" ref="D29" si="3">+D18+D19+D22+D23+D25</f>
        <v>30.129671052631579</v>
      </c>
      <c r="E29" s="53">
        <f>+E18+E19+E22+E23+E25</f>
        <v>30.129671052631579</v>
      </c>
      <c r="F29" s="53"/>
      <c r="G29" s="83"/>
      <c r="H29" s="60"/>
      <c r="I29" s="4"/>
      <c r="J29" s="4"/>
      <c r="K29" s="15"/>
    </row>
    <row r="30" spans="1:11" ht="17" thickBot="1">
      <c r="A30" s="88"/>
      <c r="B30" s="61"/>
      <c r="C30" s="89" t="s">
        <v>103</v>
      </c>
      <c r="D30" s="90">
        <f t="shared" ref="D30:E30" si="4">+D28-D29</f>
        <v>2969.8703289473683</v>
      </c>
      <c r="E30" s="90">
        <f t="shared" si="4"/>
        <v>2969.8703289473683</v>
      </c>
      <c r="F30" s="90">
        <f>SUM(D30:E30)</f>
        <v>5939.7406578947366</v>
      </c>
      <c r="G30" s="91"/>
      <c r="H30" s="57"/>
      <c r="I30" s="4"/>
      <c r="J30" s="4"/>
      <c r="K30" s="15"/>
    </row>
    <row r="31" spans="1:11">
      <c r="G31" s="53"/>
      <c r="H31" s="16"/>
      <c r="I31" s="4"/>
      <c r="J31" s="4"/>
      <c r="K31" s="15"/>
    </row>
    <row r="32" spans="1:11">
      <c r="G32" s="53"/>
      <c r="H32" s="16"/>
      <c r="I32" s="4"/>
      <c r="J32" s="4"/>
      <c r="K32" s="15"/>
    </row>
    <row r="33" spans="1:13">
      <c r="A33" s="52" t="s">
        <v>125</v>
      </c>
      <c r="B33" s="14"/>
      <c r="E33" s="4"/>
      <c r="F33" s="146" t="s">
        <v>165</v>
      </c>
      <c r="G33" s="173">
        <f>IF(F33="si",1,0)</f>
        <v>0</v>
      </c>
      <c r="H33" s="13"/>
      <c r="I33" s="13"/>
      <c r="J33" s="4"/>
      <c r="L33" s="4"/>
      <c r="M33" s="4"/>
    </row>
    <row r="34" spans="1:13">
      <c r="A34" s="52" t="s">
        <v>126</v>
      </c>
      <c r="B34" s="14"/>
      <c r="E34" s="4"/>
      <c r="F34" s="146" t="s">
        <v>165</v>
      </c>
      <c r="G34" s="173">
        <f>IF(F34="si",1,0)</f>
        <v>0</v>
      </c>
      <c r="H34" s="13"/>
      <c r="I34" s="13"/>
      <c r="J34" s="4"/>
      <c r="L34" s="4"/>
      <c r="M34" s="4"/>
    </row>
    <row r="35" spans="1:13">
      <c r="A35" s="52" t="s">
        <v>182</v>
      </c>
      <c r="B35" s="14"/>
      <c r="E35" s="4"/>
      <c r="F35" s="146" t="s">
        <v>165</v>
      </c>
      <c r="G35" s="173">
        <f>IF(F35="si",1,0)</f>
        <v>0</v>
      </c>
      <c r="H35" s="13"/>
      <c r="I35" s="13"/>
      <c r="J35" s="4"/>
      <c r="L35" s="4"/>
      <c r="M35" s="4"/>
    </row>
    <row r="36" spans="1:13">
      <c r="A36" s="52" t="s">
        <v>181</v>
      </c>
      <c r="F36" s="146" t="s">
        <v>144</v>
      </c>
      <c r="G36" s="173">
        <f>IF(F36="si",1,0)</f>
        <v>1</v>
      </c>
    </row>
    <row r="37" spans="1:13">
      <c r="A37" s="52" t="s">
        <v>177</v>
      </c>
      <c r="F37" s="146" t="s">
        <v>165</v>
      </c>
      <c r="G37" s="1"/>
    </row>
    <row r="38" spans="1:13">
      <c r="A38" s="52" t="s">
        <v>170</v>
      </c>
      <c r="F38" s="201" t="s">
        <v>58</v>
      </c>
      <c r="G38" s="1"/>
    </row>
    <row r="39" spans="1:13">
      <c r="F39" s="1"/>
      <c r="G39" s="1"/>
      <c r="H39" s="1"/>
    </row>
    <row r="40" spans="1:13">
      <c r="A40" s="52"/>
    </row>
  </sheetData>
  <sheetProtection algorithmName="SHA-512" hashValue="GP5WyLwMVwKxpkW5razg+C0/TEC3x8Y7aj8/3d2Ljw4pM5DZktt6kOaqjLjM3mJNJg4XsduDTemO/F18qLHeEQ==" saltValue="ufTZybcj53r83pM2M7EvtQ==" spinCount="100000" sheet="1" objects="1" scenarios="1"/>
  <dataValidations count="2">
    <dataValidation type="list" allowBlank="1" showInputMessage="1" showErrorMessage="1" errorTitle="Error al Elegir Opción" error="Usted solo puede escoger &quot;Si&quot; o &quot;No&quot;_x000a_" sqref="F38" xr:uid="{0C067D74-E910-432E-9ABE-56C8140B3C0F}">
      <formula1>ListaOP2</formula1>
    </dataValidation>
    <dataValidation type="list" allowBlank="1" showInputMessage="1" showErrorMessage="1" errorTitle="Error al Elegir Opción" error="Usted solo puede escoger &quot;Si&quot; o &quot;No&quot;_x000a_" sqref="F33:F37" xr:uid="{E3A74725-BD73-41FC-A674-060379A7B966}">
      <formula1>ListaOp</formula1>
    </dataValidation>
  </dataValidations>
  <printOptions horizontalCentered="1" verticalCentered="1" gridLinesSet="0"/>
  <pageMargins left="0.25" right="0.25" top="0.75" bottom="0.75" header="0.3" footer="0.3"/>
  <pageSetup scale="84" orientation="landscape" r:id="rId1"/>
  <headerFooter alignWithMargins="0">
    <oddHeader>&amp;C&amp;"Helv,Negrita"&amp;16
&amp;"Arial Black,Negrita"&amp;24&amp;K03+058GENERACION
 DE CONOCIMIENTO
CONTPAQI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A7EA-6C89-488C-BF17-7FF1DD74E97B}">
  <dimension ref="A1:AI62"/>
  <sheetViews>
    <sheetView showGridLines="0" zoomScale="70" zoomScaleNormal="7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C2" sqref="C2"/>
    </sheetView>
  </sheetViews>
  <sheetFormatPr baseColWidth="10" defaultColWidth="11.140625" defaultRowHeight="16"/>
  <cols>
    <col min="1" max="1" width="14.7109375" style="1" customWidth="1"/>
    <col min="2" max="2" width="14.140625" style="1" customWidth="1"/>
    <col min="3" max="11" width="11.140625" style="1"/>
    <col min="12" max="14" width="12.5703125" style="1" customWidth="1"/>
    <col min="15" max="15" width="12.7109375" style="1" bestFit="1" customWidth="1"/>
    <col min="16" max="17" width="13.28515625" style="1" customWidth="1"/>
    <col min="18" max="19" width="11.140625" style="1"/>
    <col min="20" max="20" width="12.7109375" style="1" bestFit="1" customWidth="1"/>
    <col min="21" max="26" width="11.140625" style="1"/>
    <col min="27" max="27" width="16.85546875" style="1" customWidth="1"/>
    <col min="28" max="28" width="18.85546875" style="1" customWidth="1"/>
    <col min="29" max="29" width="14.5703125" style="1" customWidth="1"/>
    <col min="30" max="30" width="11.140625" style="1"/>
    <col min="31" max="31" width="7.7109375" style="1" customWidth="1"/>
    <col min="32" max="32" width="16.28515625" style="1" customWidth="1"/>
    <col min="33" max="33" width="20.28515625" style="1" customWidth="1"/>
    <col min="34" max="34" width="11.140625" style="122"/>
    <col min="35" max="16384" width="11.140625" style="1"/>
  </cols>
  <sheetData>
    <row r="1" spans="1:35" ht="21">
      <c r="A1" s="161" t="s">
        <v>157</v>
      </c>
    </row>
    <row r="2" spans="1:35">
      <c r="A2" s="50" t="s">
        <v>88</v>
      </c>
      <c r="B2" s="130">
        <v>141.69999999999999</v>
      </c>
    </row>
    <row r="3" spans="1:35">
      <c r="A3" s="52" t="s">
        <v>125</v>
      </c>
      <c r="B3" s="54"/>
      <c r="C3" s="146" t="s">
        <v>144</v>
      </c>
      <c r="D3" s="123">
        <f>IF(C3="Si",1,0)</f>
        <v>1</v>
      </c>
      <c r="E3" s="1" t="s">
        <v>84</v>
      </c>
      <c r="F3" s="131">
        <v>1</v>
      </c>
      <c r="H3" s="124" t="s">
        <v>86</v>
      </c>
      <c r="I3" s="124">
        <f t="shared" ref="I3:AB3" si="0">SUMIF(MesPago,$F$3,I8:I60)</f>
        <v>8550</v>
      </c>
      <c r="J3" s="124"/>
      <c r="K3" s="124">
        <f t="shared" si="0"/>
        <v>866.82103199999995</v>
      </c>
      <c r="L3" s="124">
        <f t="shared" si="0"/>
        <v>352.24</v>
      </c>
      <c r="M3" s="124"/>
      <c r="N3" s="124">
        <f t="shared" ref="N3" si="1">SUMIF(MesPago,$F$3,N8:N60)</f>
        <v>264.18</v>
      </c>
      <c r="O3" s="124">
        <f t="shared" si="0"/>
        <v>664.67927199999997</v>
      </c>
      <c r="P3" s="124">
        <f t="shared" si="0"/>
        <v>112.57368</v>
      </c>
      <c r="Q3" s="124">
        <f t="shared" ref="Q3" si="2">SUMIF(MesPago,$F$3,Q8:Q60)</f>
        <v>112.57368</v>
      </c>
      <c r="R3" s="124">
        <f t="shared" si="0"/>
        <v>613.14187199999992</v>
      </c>
      <c r="S3" s="124">
        <f t="shared" si="0"/>
        <v>0</v>
      </c>
      <c r="T3" s="124">
        <f t="shared" si="0"/>
        <v>613.14187199999992</v>
      </c>
      <c r="U3" s="124">
        <f t="shared" si="0"/>
        <v>0</v>
      </c>
      <c r="V3" s="124">
        <f t="shared" si="0"/>
        <v>264.18</v>
      </c>
      <c r="W3" s="124">
        <f t="shared" ref="W3" si="3">SUMIF(MesPago,$F$3,W8:W60)</f>
        <v>0</v>
      </c>
      <c r="X3" s="124">
        <f t="shared" si="0"/>
        <v>151.60632000000001</v>
      </c>
      <c r="Y3" s="124">
        <f t="shared" si="0"/>
        <v>151.60632000000001</v>
      </c>
      <c r="Z3" s="124">
        <f t="shared" ref="Z3" si="4">SUMIF(MesPago,$F$3,Z8:Z60)</f>
        <v>203.14372000000003</v>
      </c>
      <c r="AA3" s="124">
        <f t="shared" si="0"/>
        <v>112.57368</v>
      </c>
      <c r="AB3" s="124">
        <f t="shared" si="0"/>
        <v>112.57368</v>
      </c>
      <c r="AC3" s="124">
        <f t="shared" ref="AC3" si="5">SUMIF(MesPago,$F$3,AC8:AC60)</f>
        <v>0</v>
      </c>
      <c r="AD3" s="124">
        <f>SUMIF(MesPago,$F$3,AD8:AD60)</f>
        <v>7936.8581279999989</v>
      </c>
      <c r="AE3" s="124"/>
    </row>
    <row r="4" spans="1:35" ht="17" thickBot="1">
      <c r="A4" s="52" t="s">
        <v>124</v>
      </c>
      <c r="C4" s="146" t="s">
        <v>144</v>
      </c>
      <c r="D4" s="123">
        <f t="shared" ref="D4:D5" si="6">IF(C4="Si",1,0)</f>
        <v>1</v>
      </c>
      <c r="E4" s="1" t="s">
        <v>85</v>
      </c>
      <c r="F4" s="110">
        <f>COUNTIF(MesPago,F3)</f>
        <v>5</v>
      </c>
      <c r="H4" s="124" t="s">
        <v>87</v>
      </c>
      <c r="I4" s="124">
        <f>SUM(I8:I59)</f>
        <v>55320</v>
      </c>
      <c r="J4" s="124"/>
      <c r="K4" s="124">
        <f>SUM(K8:K59)</f>
        <v>3856.1305440000046</v>
      </c>
      <c r="L4" s="124">
        <f t="shared" ref="L4:AD4" si="7">SUM(L8:L59)</f>
        <v>4402.9999999999991</v>
      </c>
      <c r="M4" s="124"/>
      <c r="N4" s="124">
        <f t="shared" ref="N4" si="8">SUM(N8:N59)</f>
        <v>3968.6699999999983</v>
      </c>
      <c r="O4" s="124">
        <f t="shared" si="7"/>
        <v>1329.3585439999999</v>
      </c>
      <c r="P4" s="124">
        <f t="shared" si="7"/>
        <v>1688.6052000000004</v>
      </c>
      <c r="Q4" s="124">
        <f>SUM(Q8:Q59)</f>
        <v>1688.6052000000004</v>
      </c>
      <c r="R4" s="124">
        <f t="shared" si="7"/>
        <v>3297.3237439999998</v>
      </c>
      <c r="S4" s="124">
        <f t="shared" si="7"/>
        <v>3739.9100000000003</v>
      </c>
      <c r="T4" s="124">
        <f t="shared" si="7"/>
        <v>1127.2757439999998</v>
      </c>
      <c r="U4" s="124">
        <f t="shared" si="7"/>
        <v>1569.8620000000003</v>
      </c>
      <c r="V4" s="124">
        <f t="shared" si="7"/>
        <v>440.3</v>
      </c>
      <c r="W4" s="124">
        <f t="shared" si="7"/>
        <v>211.53999999999979</v>
      </c>
      <c r="X4" s="124">
        <f t="shared" si="7"/>
        <v>252.67720000000003</v>
      </c>
      <c r="Y4" s="124">
        <f t="shared" si="7"/>
        <v>252.67720000000003</v>
      </c>
      <c r="Z4" s="124">
        <f t="shared" si="7"/>
        <v>454.7600000000001</v>
      </c>
      <c r="AA4" s="124">
        <f t="shared" si="7"/>
        <v>348.54592000000002</v>
      </c>
      <c r="AB4" s="124">
        <f t="shared" si="7"/>
        <v>187.62279999999998</v>
      </c>
      <c r="AC4" s="124">
        <f t="shared" ref="AC4" si="9">SUM(AC8:AC59)</f>
        <v>229.80271999999997</v>
      </c>
      <c r="AD4" s="124">
        <f t="shared" si="7"/>
        <v>55762.586255999973</v>
      </c>
    </row>
    <row r="5" spans="1:35" ht="21" customHeight="1" thickBot="1">
      <c r="A5" s="159" t="s">
        <v>126</v>
      </c>
      <c r="B5" s="160"/>
      <c r="C5" s="146" t="s">
        <v>144</v>
      </c>
      <c r="D5" s="123">
        <f t="shared" si="6"/>
        <v>1</v>
      </c>
      <c r="H5" s="155" t="s">
        <v>147</v>
      </c>
      <c r="I5" s="156"/>
      <c r="J5" s="156"/>
      <c r="K5" s="157" t="s">
        <v>142</v>
      </c>
      <c r="L5" s="157"/>
      <c r="M5" s="157"/>
      <c r="N5" s="157" t="s">
        <v>122</v>
      </c>
      <c r="O5" s="157" t="s">
        <v>143</v>
      </c>
      <c r="P5" s="157"/>
      <c r="Q5" s="157" t="s">
        <v>135</v>
      </c>
      <c r="R5" s="157"/>
      <c r="S5" s="157"/>
      <c r="T5" s="157"/>
      <c r="U5" s="157"/>
      <c r="V5" s="157" t="s">
        <v>106</v>
      </c>
      <c r="W5" s="157" t="s">
        <v>122</v>
      </c>
      <c r="X5" s="157" t="s">
        <v>109</v>
      </c>
      <c r="Y5" s="157" t="s">
        <v>110</v>
      </c>
      <c r="Z5" s="157" t="s">
        <v>123</v>
      </c>
      <c r="AA5" s="157" t="s">
        <v>97</v>
      </c>
      <c r="AB5" s="157" t="s">
        <v>111</v>
      </c>
      <c r="AC5" s="157" t="s">
        <v>135</v>
      </c>
      <c r="AD5" s="158"/>
    </row>
    <row r="6" spans="1:35" ht="53.25" customHeight="1" thickBot="1">
      <c r="A6" s="125"/>
      <c r="B6" s="125"/>
      <c r="H6" s="132" t="s">
        <v>146</v>
      </c>
      <c r="I6" s="133"/>
      <c r="J6" s="133"/>
      <c r="K6" s="134"/>
      <c r="L6" s="135"/>
      <c r="M6" s="135"/>
      <c r="N6" s="135" t="s">
        <v>105</v>
      </c>
      <c r="O6" s="136" t="s">
        <v>95</v>
      </c>
      <c r="P6" s="137"/>
      <c r="Q6" s="137" t="s">
        <v>107</v>
      </c>
      <c r="R6" s="138"/>
      <c r="S6" s="139"/>
      <c r="T6" s="140"/>
      <c r="U6" s="141"/>
      <c r="V6" s="142" t="s">
        <v>94</v>
      </c>
      <c r="W6" s="142" t="s">
        <v>105</v>
      </c>
      <c r="X6" s="143" t="s">
        <v>95</v>
      </c>
      <c r="Y6" s="143" t="s">
        <v>96</v>
      </c>
      <c r="Z6" s="143" t="s">
        <v>99</v>
      </c>
      <c r="AA6" s="144" t="s">
        <v>97</v>
      </c>
      <c r="AB6" s="144" t="s">
        <v>98</v>
      </c>
      <c r="AC6" s="144" t="s">
        <v>117</v>
      </c>
      <c r="AD6" s="145"/>
    </row>
    <row r="7" spans="1:35" ht="68.25" customHeight="1">
      <c r="A7" s="162" t="s">
        <v>73</v>
      </c>
      <c r="B7" s="163" t="s">
        <v>56</v>
      </c>
      <c r="C7" s="163" t="s">
        <v>63</v>
      </c>
      <c r="D7" s="163" t="s">
        <v>64</v>
      </c>
      <c r="E7" s="163" t="s">
        <v>58</v>
      </c>
      <c r="F7" s="163" t="s">
        <v>57</v>
      </c>
      <c r="G7" s="163" t="s">
        <v>52</v>
      </c>
      <c r="H7" s="163" t="s">
        <v>59</v>
      </c>
      <c r="I7" s="163" t="s">
        <v>60</v>
      </c>
      <c r="J7" s="163" t="s">
        <v>61</v>
      </c>
      <c r="K7" s="134" t="s">
        <v>14</v>
      </c>
      <c r="L7" s="135" t="s">
        <v>62</v>
      </c>
      <c r="M7" s="135" t="s">
        <v>140</v>
      </c>
      <c r="N7" s="135" t="s">
        <v>141</v>
      </c>
      <c r="O7" s="136" t="s">
        <v>137</v>
      </c>
      <c r="P7" s="137" t="s">
        <v>49</v>
      </c>
      <c r="Q7" s="137" t="s">
        <v>136</v>
      </c>
      <c r="R7" s="138" t="s">
        <v>77</v>
      </c>
      <c r="S7" s="139" t="s">
        <v>78</v>
      </c>
      <c r="T7" s="140" t="s">
        <v>65</v>
      </c>
      <c r="U7" s="141" t="s">
        <v>66</v>
      </c>
      <c r="V7" s="142" t="s">
        <v>120</v>
      </c>
      <c r="W7" s="142" t="s">
        <v>118</v>
      </c>
      <c r="X7" s="143" t="s">
        <v>138</v>
      </c>
      <c r="Y7" s="143" t="s">
        <v>32</v>
      </c>
      <c r="Z7" s="143" t="s">
        <v>116</v>
      </c>
      <c r="AA7" s="144" t="s">
        <v>119</v>
      </c>
      <c r="AB7" s="144" t="s">
        <v>93</v>
      </c>
      <c r="AC7" s="144" t="s">
        <v>121</v>
      </c>
      <c r="AD7" s="164" t="s">
        <v>74</v>
      </c>
      <c r="AE7" s="126"/>
      <c r="AG7" s="127"/>
    </row>
    <row r="8" spans="1:35">
      <c r="A8" s="165">
        <v>1</v>
      </c>
      <c r="B8" s="166">
        <v>43468</v>
      </c>
      <c r="C8" s="165">
        <f>MONTH(B8)</f>
        <v>1</v>
      </c>
      <c r="D8" s="167" t="str">
        <f>IF(C8=C9,"no","Si")</f>
        <v>no</v>
      </c>
      <c r="E8" s="168">
        <v>7</v>
      </c>
      <c r="F8" s="168">
        <v>130</v>
      </c>
      <c r="G8" s="165">
        <f>+F8*E8</f>
        <v>910</v>
      </c>
      <c r="H8" s="168"/>
      <c r="I8" s="165">
        <f>+G8+H8</f>
        <v>910</v>
      </c>
      <c r="J8" s="165">
        <f>+I8</f>
        <v>910</v>
      </c>
      <c r="K8" s="165">
        <f>((I8-VLOOKUP(I8,TablaPer,1))*VLOOKUP(I8,TablaPer,3))+VLOOKUP(I8,TablaPer,2)</f>
        <v>50.535440000000001</v>
      </c>
      <c r="L8" s="165">
        <f t="shared" ref="L8:L39" si="10">VLOOKUP(I8,SubPer,2)</f>
        <v>88.06</v>
      </c>
      <c r="M8" s="165">
        <f>L8</f>
        <v>88.06</v>
      </c>
      <c r="N8" s="165">
        <f>IF(D8="Si", IF(M7&gt;VLOOKUP(J8,SubMes,2),0,MIN(VLOOKUP(I8,SubPer,2),VLOOKUP(J8,SubMes,2)-M7)),VLOOKUP(I8,SubPer,2))</f>
        <v>88.06</v>
      </c>
      <c r="O8" s="165">
        <f t="shared" ref="O8:O39" si="11">IF(I8&lt;=(SalarioMinimo*E8),0,MAX(0,K8-N8))</f>
        <v>0</v>
      </c>
      <c r="P8" s="165">
        <f>MAX(0,N8-K8)</f>
        <v>37.524560000000001</v>
      </c>
      <c r="Q8" s="165">
        <f t="shared" ref="Q8:Q39" si="12">IF(D8="Si", MIN(MAX(0,P8),MAX(0,(U8-(SUMIF(MesPago,C8,SubsidioEntregar)-P8)))),P8)</f>
        <v>37.524560000000001</v>
      </c>
      <c r="R8" s="165">
        <f>IF(D8="Si",((J8-VLOOKUP(J8,TablaMes,1))*VLOOKUP(J8,TablaMes,3))+VLOOKUP(J8,TablaMes,2),0)</f>
        <v>0</v>
      </c>
      <c r="S8" s="165">
        <f>IF(D8="Si",VLOOKUP(J8,SubMes,2),0)</f>
        <v>0</v>
      </c>
      <c r="T8" s="165">
        <f>IF(J8&lt;=(30.4*SalarioMinimo),0,MAX(R8-S8,0))</f>
        <v>0</v>
      </c>
      <c r="U8" s="165">
        <f>MAX(0,S8-R8)</f>
        <v>0</v>
      </c>
      <c r="V8" s="165">
        <f>IF(D8="Si",MAX(0,SUMIF(MesPago,C8,SubsidioCausadoDef)-S8),0)</f>
        <v>0</v>
      </c>
      <c r="W8" s="165">
        <f t="shared" ref="W8:W39" si="13">IF(D8="Si",(MIN(0,SUMIF(MesPago,C8,SubsidioCausadoDef)-S8)*$D$3)*-1,0)</f>
        <v>0</v>
      </c>
      <c r="X8" s="165">
        <f>IF(D8="Si",MAX(0,V8-AA8),0)</f>
        <v>0</v>
      </c>
      <c r="Y8" s="165">
        <f>X8</f>
        <v>0</v>
      </c>
      <c r="Z8" s="165">
        <f>IF(D8="si",MAX(0,SUMIF(MesPago,C8,ISRRetener)+X8-T8)*$D$4,0)</f>
        <v>0</v>
      </c>
      <c r="AA8" s="165">
        <f>IF(D8="Si",MAX(0,SUMIF(MesPago,C8,SubsidioEntregarDef)-U8),0)</f>
        <v>0</v>
      </c>
      <c r="AB8" s="165">
        <f>IF(V8=0,0,AA8)</f>
        <v>0</v>
      </c>
      <c r="AC8" s="165">
        <f>IF(D8="Si",(MIN(0,SUMIF(MesPago,C8,SubsidioEntregarDef)-U8)*$D$5)*-1,0)</f>
        <v>0</v>
      </c>
      <c r="AD8" s="165">
        <f>I8-O8+Q8-V8-X8+Y8+Z8-AA8+AB8+AC8</f>
        <v>947.52455999999995</v>
      </c>
      <c r="AE8" s="128"/>
      <c r="AH8" s="1"/>
      <c r="AI8" s="129"/>
    </row>
    <row r="9" spans="1:35">
      <c r="A9" s="165">
        <f>+A8+1</f>
        <v>2</v>
      </c>
      <c r="B9" s="166">
        <f t="shared" ref="B9:B57" si="14">+B8+7</f>
        <v>43475</v>
      </c>
      <c r="C9" s="165">
        <f t="shared" ref="C9" si="15">MONTH(B9)</f>
        <v>1</v>
      </c>
      <c r="D9" s="167" t="str">
        <f>IF(C9=C10,"no","Si")</f>
        <v>no</v>
      </c>
      <c r="E9" s="168">
        <v>7</v>
      </c>
      <c r="F9" s="168">
        <f>+F8</f>
        <v>130</v>
      </c>
      <c r="G9" s="165">
        <f t="shared" ref="G9" si="16">+F9*E9</f>
        <v>910</v>
      </c>
      <c r="H9" s="168"/>
      <c r="I9" s="165">
        <f t="shared" ref="I9" si="17">+G9+H9</f>
        <v>910</v>
      </c>
      <c r="J9" s="165">
        <f>IF(D8="si",I9,+I9+J8)</f>
        <v>1820</v>
      </c>
      <c r="K9" s="165">
        <f t="shared" ref="K9:K39" si="18">((I9-VLOOKUP(I9,TablaPer,1))*VLOOKUP(I9,TablaPer,3))+VLOOKUP(I9,TablaPer,2)</f>
        <v>50.535440000000001</v>
      </c>
      <c r="L9" s="165">
        <f t="shared" si="10"/>
        <v>88.06</v>
      </c>
      <c r="M9" s="165">
        <f t="shared" ref="M9:M59" si="19">IF(D8="si",L9,+L9+M8)</f>
        <v>176.12</v>
      </c>
      <c r="N9" s="165">
        <f t="shared" ref="N9:N39" si="20">IF(D9="Si", IF(M8&gt;VLOOKUP(J9,SubMes,2),0,MIN(VLOOKUP(I9,SubPer,2),VLOOKUP(J9,SubMes,2)-M8)),VLOOKUP(I9,SubPer,2))</f>
        <v>88.06</v>
      </c>
      <c r="O9" s="165">
        <f t="shared" si="11"/>
        <v>0</v>
      </c>
      <c r="P9" s="165">
        <f t="shared" ref="P9:P60" si="21">MAX(0,N9-K9)</f>
        <v>37.524560000000001</v>
      </c>
      <c r="Q9" s="165">
        <f t="shared" si="12"/>
        <v>37.524560000000001</v>
      </c>
      <c r="R9" s="165">
        <f t="shared" ref="R9:R39" si="22">IF(D9="Si",((J9-VLOOKUP(J9,TablaMes,1))*VLOOKUP(J9,TablaMes,3))+VLOOKUP(J9,TablaMes,2),0)</f>
        <v>0</v>
      </c>
      <c r="S9" s="165">
        <f t="shared" ref="S9:S39" si="23">IF(D9="Si",VLOOKUP(J9,SubMes,2),0)</f>
        <v>0</v>
      </c>
      <c r="T9" s="165">
        <f t="shared" ref="T9:T39" si="24">IF(J9&lt;=(30.4*SalarioMinimo),0,MAX(R9-S9,0))</f>
        <v>0</v>
      </c>
      <c r="U9" s="165">
        <f t="shared" ref="U9:U39" si="25">MAX(0,S9-R9)</f>
        <v>0</v>
      </c>
      <c r="V9" s="165">
        <f t="shared" ref="V9:V39" si="26">IF(D9="Si",MAX(0,SUMIF(MesPago,C9,SubsidioCausadoDef)-S9),0)</f>
        <v>0</v>
      </c>
      <c r="W9" s="165">
        <f t="shared" si="13"/>
        <v>0</v>
      </c>
      <c r="X9" s="165">
        <f t="shared" ref="X9:X39" si="27">IF(D9="Si",MAX(0,V9-AA9),0)</f>
        <v>0</v>
      </c>
      <c r="Y9" s="165">
        <f t="shared" ref="Y9:Y11" si="28">X9</f>
        <v>0</v>
      </c>
      <c r="Z9" s="165">
        <f t="shared" ref="Z9:Z39" si="29">IF(D9="si",MAX(0,SUMIF(MesPago,C9,ISRRetener)+X9-T9)*$D$4,0)</f>
        <v>0</v>
      </c>
      <c r="AA9" s="165">
        <f t="shared" ref="AA9:AA39" si="30">IF(D9="Si",MAX(0,SUMIF(MesPago,C9,SubsidioEntregarDef)-U9),0)</f>
        <v>0</v>
      </c>
      <c r="AB9" s="165">
        <f t="shared" ref="AB9:AB15" si="31">IF(V9=0,0,AA9)</f>
        <v>0</v>
      </c>
      <c r="AC9" s="165">
        <f t="shared" ref="AC9:AC39" si="32">IF(D9="Si",(MIN(0,SUMIF(MesPago,C9,SubsidioEntregarDef)-U9)*$D$5)*-1,0)</f>
        <v>0</v>
      </c>
      <c r="AD9" s="165">
        <f t="shared" ref="AD9:AD60" si="33">I9-O9+Q9-V9-X9+Y9+Z9-AA9+AB9+AC9</f>
        <v>947.52455999999995</v>
      </c>
      <c r="AE9" s="128"/>
      <c r="AH9" s="1"/>
      <c r="AI9" s="122"/>
    </row>
    <row r="10" spans="1:35">
      <c r="A10" s="165">
        <f t="shared" ref="A10:A59" si="34">+A9+1</f>
        <v>3</v>
      </c>
      <c r="B10" s="166">
        <f t="shared" si="14"/>
        <v>43482</v>
      </c>
      <c r="C10" s="165">
        <f t="shared" ref="C10:C57" si="35">MONTH(B10)</f>
        <v>1</v>
      </c>
      <c r="D10" s="167" t="str">
        <f t="shared" ref="D10:D57" si="36">IF(C10=C11,"no","Si")</f>
        <v>no</v>
      </c>
      <c r="E10" s="168">
        <v>7</v>
      </c>
      <c r="F10" s="168">
        <f t="shared" ref="F10:F60" si="37">+F9</f>
        <v>130</v>
      </c>
      <c r="G10" s="165">
        <f t="shared" ref="G10:G57" si="38">+F10*E10</f>
        <v>910</v>
      </c>
      <c r="H10" s="168">
        <v>4000</v>
      </c>
      <c r="I10" s="165">
        <f t="shared" ref="I10:I57" si="39">+G10+H10</f>
        <v>4910</v>
      </c>
      <c r="J10" s="165">
        <f>IF(D9="si",I10,+I10+J9)</f>
        <v>6730</v>
      </c>
      <c r="K10" s="165">
        <f t="shared" si="18"/>
        <v>664.67927199999997</v>
      </c>
      <c r="L10" s="165">
        <f t="shared" si="10"/>
        <v>0</v>
      </c>
      <c r="M10" s="165">
        <f t="shared" si="19"/>
        <v>176.12</v>
      </c>
      <c r="N10" s="165">
        <f t="shared" si="20"/>
        <v>0</v>
      </c>
      <c r="O10" s="165">
        <f t="shared" si="11"/>
        <v>664.67927199999997</v>
      </c>
      <c r="P10" s="165">
        <f t="shared" si="21"/>
        <v>0</v>
      </c>
      <c r="Q10" s="165">
        <f t="shared" si="12"/>
        <v>0</v>
      </c>
      <c r="R10" s="165">
        <f t="shared" si="22"/>
        <v>0</v>
      </c>
      <c r="S10" s="165">
        <f t="shared" si="23"/>
        <v>0</v>
      </c>
      <c r="T10" s="165">
        <f t="shared" si="24"/>
        <v>0</v>
      </c>
      <c r="U10" s="165">
        <f t="shared" si="25"/>
        <v>0</v>
      </c>
      <c r="V10" s="165">
        <f t="shared" si="26"/>
        <v>0</v>
      </c>
      <c r="W10" s="165">
        <f t="shared" si="13"/>
        <v>0</v>
      </c>
      <c r="X10" s="165">
        <f t="shared" si="27"/>
        <v>0</v>
      </c>
      <c r="Y10" s="165">
        <f t="shared" si="28"/>
        <v>0</v>
      </c>
      <c r="Z10" s="165">
        <f t="shared" si="29"/>
        <v>0</v>
      </c>
      <c r="AA10" s="165">
        <f t="shared" si="30"/>
        <v>0</v>
      </c>
      <c r="AB10" s="165">
        <f t="shared" si="31"/>
        <v>0</v>
      </c>
      <c r="AC10" s="165">
        <f t="shared" si="32"/>
        <v>0</v>
      </c>
      <c r="AD10" s="165">
        <f t="shared" si="33"/>
        <v>4245.3207279999997</v>
      </c>
      <c r="AE10" s="128"/>
      <c r="AH10" s="1"/>
      <c r="AI10" s="122"/>
    </row>
    <row r="11" spans="1:35">
      <c r="A11" s="165">
        <f t="shared" si="34"/>
        <v>4</v>
      </c>
      <c r="B11" s="166">
        <f t="shared" si="14"/>
        <v>43489</v>
      </c>
      <c r="C11" s="165">
        <f t="shared" si="35"/>
        <v>1</v>
      </c>
      <c r="D11" s="167" t="str">
        <f t="shared" si="36"/>
        <v>no</v>
      </c>
      <c r="E11" s="168">
        <v>7</v>
      </c>
      <c r="F11" s="168">
        <f t="shared" si="37"/>
        <v>130</v>
      </c>
      <c r="G11" s="165">
        <f t="shared" si="38"/>
        <v>910</v>
      </c>
      <c r="H11" s="168"/>
      <c r="I11" s="165">
        <f t="shared" si="39"/>
        <v>910</v>
      </c>
      <c r="J11" s="165">
        <f>IF(D10="si",I11,+I11+J10)</f>
        <v>7640</v>
      </c>
      <c r="K11" s="165">
        <f t="shared" si="18"/>
        <v>50.535440000000001</v>
      </c>
      <c r="L11" s="165">
        <f t="shared" si="10"/>
        <v>88.06</v>
      </c>
      <c r="M11" s="165">
        <f t="shared" si="19"/>
        <v>264.18</v>
      </c>
      <c r="N11" s="165">
        <f t="shared" si="20"/>
        <v>88.06</v>
      </c>
      <c r="O11" s="165">
        <f t="shared" si="11"/>
        <v>0</v>
      </c>
      <c r="P11" s="165">
        <f t="shared" si="21"/>
        <v>37.524560000000001</v>
      </c>
      <c r="Q11" s="165">
        <f t="shared" si="12"/>
        <v>37.524560000000001</v>
      </c>
      <c r="R11" s="165">
        <f t="shared" si="22"/>
        <v>0</v>
      </c>
      <c r="S11" s="165">
        <f t="shared" si="23"/>
        <v>0</v>
      </c>
      <c r="T11" s="165">
        <f t="shared" si="24"/>
        <v>0</v>
      </c>
      <c r="U11" s="165">
        <f t="shared" si="25"/>
        <v>0</v>
      </c>
      <c r="V11" s="165">
        <f t="shared" si="26"/>
        <v>0</v>
      </c>
      <c r="W11" s="165">
        <f t="shared" si="13"/>
        <v>0</v>
      </c>
      <c r="X11" s="165">
        <f t="shared" si="27"/>
        <v>0</v>
      </c>
      <c r="Y11" s="165">
        <f t="shared" si="28"/>
        <v>0</v>
      </c>
      <c r="Z11" s="165">
        <f t="shared" si="29"/>
        <v>0</v>
      </c>
      <c r="AA11" s="165">
        <f t="shared" si="30"/>
        <v>0</v>
      </c>
      <c r="AB11" s="165">
        <f t="shared" si="31"/>
        <v>0</v>
      </c>
      <c r="AC11" s="165">
        <f t="shared" si="32"/>
        <v>0</v>
      </c>
      <c r="AD11" s="165">
        <f t="shared" si="33"/>
        <v>947.52455999999995</v>
      </c>
      <c r="AE11" s="128"/>
      <c r="AH11" s="1"/>
      <c r="AI11" s="122"/>
    </row>
    <row r="12" spans="1:35">
      <c r="A12" s="165">
        <f t="shared" si="34"/>
        <v>5</v>
      </c>
      <c r="B12" s="166">
        <f t="shared" si="14"/>
        <v>43496</v>
      </c>
      <c r="C12" s="165">
        <f>MONTH(B12)</f>
        <v>1</v>
      </c>
      <c r="D12" s="167" t="str">
        <f t="shared" si="36"/>
        <v>Si</v>
      </c>
      <c r="E12" s="168">
        <v>7</v>
      </c>
      <c r="F12" s="168">
        <f t="shared" si="37"/>
        <v>130</v>
      </c>
      <c r="G12" s="165">
        <f t="shared" si="38"/>
        <v>910</v>
      </c>
      <c r="H12" s="168"/>
      <c r="I12" s="165">
        <f t="shared" si="39"/>
        <v>910</v>
      </c>
      <c r="J12" s="165">
        <f>IF(D11="Si",I12,+I12+J11)</f>
        <v>8550</v>
      </c>
      <c r="K12" s="165">
        <f t="shared" si="18"/>
        <v>50.535440000000001</v>
      </c>
      <c r="L12" s="165">
        <f t="shared" si="10"/>
        <v>88.06</v>
      </c>
      <c r="M12" s="165">
        <f t="shared" si="19"/>
        <v>352.24</v>
      </c>
      <c r="N12" s="165">
        <f t="shared" si="20"/>
        <v>0</v>
      </c>
      <c r="O12" s="165">
        <f t="shared" si="11"/>
        <v>0</v>
      </c>
      <c r="P12" s="165">
        <f t="shared" si="21"/>
        <v>0</v>
      </c>
      <c r="Q12" s="165">
        <f t="shared" si="12"/>
        <v>0</v>
      </c>
      <c r="R12" s="165">
        <f t="shared" si="22"/>
        <v>613.14187199999992</v>
      </c>
      <c r="S12" s="165">
        <f t="shared" si="23"/>
        <v>0</v>
      </c>
      <c r="T12" s="165">
        <f t="shared" si="24"/>
        <v>613.14187199999992</v>
      </c>
      <c r="U12" s="165">
        <f t="shared" si="25"/>
        <v>0</v>
      </c>
      <c r="V12" s="165">
        <f t="shared" si="26"/>
        <v>264.18</v>
      </c>
      <c r="W12" s="165">
        <f t="shared" si="13"/>
        <v>0</v>
      </c>
      <c r="X12" s="165">
        <f t="shared" si="27"/>
        <v>151.60632000000001</v>
      </c>
      <c r="Y12" s="165">
        <f>X12</f>
        <v>151.60632000000001</v>
      </c>
      <c r="Z12" s="165">
        <f t="shared" si="29"/>
        <v>203.14372000000003</v>
      </c>
      <c r="AA12" s="165">
        <f t="shared" si="30"/>
        <v>112.57368</v>
      </c>
      <c r="AB12" s="165">
        <f t="shared" si="31"/>
        <v>112.57368</v>
      </c>
      <c r="AC12" s="165">
        <f t="shared" si="32"/>
        <v>0</v>
      </c>
      <c r="AD12" s="165">
        <f t="shared" si="33"/>
        <v>848.96371999999997</v>
      </c>
      <c r="AE12" s="128"/>
      <c r="AG12" s="124"/>
      <c r="AH12" s="124"/>
      <c r="AI12" s="122"/>
    </row>
    <row r="13" spans="1:35">
      <c r="A13" s="165">
        <f t="shared" si="34"/>
        <v>6</v>
      </c>
      <c r="B13" s="166">
        <f t="shared" si="14"/>
        <v>43503</v>
      </c>
      <c r="C13" s="165">
        <f t="shared" si="35"/>
        <v>2</v>
      </c>
      <c r="D13" s="167" t="str">
        <f t="shared" si="36"/>
        <v>no</v>
      </c>
      <c r="E13" s="168">
        <v>7</v>
      </c>
      <c r="F13" s="168">
        <f t="shared" si="37"/>
        <v>130</v>
      </c>
      <c r="G13" s="165">
        <f t="shared" si="38"/>
        <v>910</v>
      </c>
      <c r="H13" s="168"/>
      <c r="I13" s="165">
        <f t="shared" si="39"/>
        <v>910</v>
      </c>
      <c r="J13" s="165">
        <f>IF(D12="si",I13,+I13+J12)</f>
        <v>910</v>
      </c>
      <c r="K13" s="165">
        <f t="shared" si="18"/>
        <v>50.535440000000001</v>
      </c>
      <c r="L13" s="165">
        <f t="shared" si="10"/>
        <v>88.06</v>
      </c>
      <c r="M13" s="165">
        <f t="shared" si="19"/>
        <v>88.06</v>
      </c>
      <c r="N13" s="165">
        <f t="shared" si="20"/>
        <v>88.06</v>
      </c>
      <c r="O13" s="165">
        <f t="shared" si="11"/>
        <v>0</v>
      </c>
      <c r="P13" s="165">
        <f t="shared" si="21"/>
        <v>37.524560000000001</v>
      </c>
      <c r="Q13" s="165">
        <f t="shared" si="12"/>
        <v>37.524560000000001</v>
      </c>
      <c r="R13" s="165">
        <f t="shared" si="22"/>
        <v>0</v>
      </c>
      <c r="S13" s="165">
        <f t="shared" si="23"/>
        <v>0</v>
      </c>
      <c r="T13" s="165">
        <f t="shared" si="24"/>
        <v>0</v>
      </c>
      <c r="U13" s="165">
        <f t="shared" si="25"/>
        <v>0</v>
      </c>
      <c r="V13" s="165">
        <f t="shared" si="26"/>
        <v>0</v>
      </c>
      <c r="W13" s="165">
        <f t="shared" si="13"/>
        <v>0</v>
      </c>
      <c r="X13" s="165">
        <f t="shared" si="27"/>
        <v>0</v>
      </c>
      <c r="Y13" s="165">
        <f t="shared" ref="Y13:Y60" si="40">X13</f>
        <v>0</v>
      </c>
      <c r="Z13" s="165">
        <f t="shared" si="29"/>
        <v>0</v>
      </c>
      <c r="AA13" s="165">
        <f t="shared" si="30"/>
        <v>0</v>
      </c>
      <c r="AB13" s="165">
        <f t="shared" si="31"/>
        <v>0</v>
      </c>
      <c r="AC13" s="165">
        <f t="shared" si="32"/>
        <v>0</v>
      </c>
      <c r="AD13" s="165">
        <f t="shared" si="33"/>
        <v>947.52455999999995</v>
      </c>
      <c r="AE13" s="128"/>
      <c r="AH13" s="1"/>
      <c r="AI13" s="122"/>
    </row>
    <row r="14" spans="1:35">
      <c r="A14" s="165">
        <f t="shared" si="34"/>
        <v>7</v>
      </c>
      <c r="B14" s="166">
        <f t="shared" si="14"/>
        <v>43510</v>
      </c>
      <c r="C14" s="165">
        <f t="shared" si="35"/>
        <v>2</v>
      </c>
      <c r="D14" s="167" t="str">
        <f t="shared" si="36"/>
        <v>no</v>
      </c>
      <c r="E14" s="168">
        <v>7</v>
      </c>
      <c r="F14" s="168">
        <f t="shared" si="37"/>
        <v>130</v>
      </c>
      <c r="G14" s="165">
        <f t="shared" si="38"/>
        <v>910</v>
      </c>
      <c r="H14" s="168">
        <v>4000</v>
      </c>
      <c r="I14" s="165">
        <f t="shared" si="39"/>
        <v>4910</v>
      </c>
      <c r="J14" s="165">
        <f t="shared" ref="J14:J57" si="41">IF(D13="si",I14,+I14+J13)</f>
        <v>5820</v>
      </c>
      <c r="K14" s="165">
        <f t="shared" si="18"/>
        <v>664.67927199999997</v>
      </c>
      <c r="L14" s="165">
        <f t="shared" si="10"/>
        <v>0</v>
      </c>
      <c r="M14" s="165">
        <f t="shared" si="19"/>
        <v>88.06</v>
      </c>
      <c r="N14" s="165">
        <f t="shared" si="20"/>
        <v>0</v>
      </c>
      <c r="O14" s="165">
        <f t="shared" si="11"/>
        <v>664.67927199999997</v>
      </c>
      <c r="P14" s="165">
        <f t="shared" si="21"/>
        <v>0</v>
      </c>
      <c r="Q14" s="165">
        <f t="shared" si="12"/>
        <v>0</v>
      </c>
      <c r="R14" s="165">
        <f t="shared" si="22"/>
        <v>0</v>
      </c>
      <c r="S14" s="165">
        <f t="shared" si="23"/>
        <v>0</v>
      </c>
      <c r="T14" s="165">
        <f t="shared" si="24"/>
        <v>0</v>
      </c>
      <c r="U14" s="165">
        <f t="shared" si="25"/>
        <v>0</v>
      </c>
      <c r="V14" s="165">
        <f t="shared" si="26"/>
        <v>0</v>
      </c>
      <c r="W14" s="165">
        <f t="shared" si="13"/>
        <v>0</v>
      </c>
      <c r="X14" s="165">
        <f t="shared" si="27"/>
        <v>0</v>
      </c>
      <c r="Y14" s="165">
        <f t="shared" si="40"/>
        <v>0</v>
      </c>
      <c r="Z14" s="165">
        <f t="shared" si="29"/>
        <v>0</v>
      </c>
      <c r="AA14" s="165">
        <f t="shared" si="30"/>
        <v>0</v>
      </c>
      <c r="AB14" s="165">
        <f t="shared" si="31"/>
        <v>0</v>
      </c>
      <c r="AC14" s="165">
        <f t="shared" si="32"/>
        <v>0</v>
      </c>
      <c r="AD14" s="165">
        <f t="shared" si="33"/>
        <v>4245.3207279999997</v>
      </c>
      <c r="AE14" s="128"/>
      <c r="AH14" s="1"/>
      <c r="AI14" s="122"/>
    </row>
    <row r="15" spans="1:35">
      <c r="A15" s="165">
        <f t="shared" si="34"/>
        <v>8</v>
      </c>
      <c r="B15" s="166">
        <f t="shared" si="14"/>
        <v>43517</v>
      </c>
      <c r="C15" s="165">
        <f t="shared" si="35"/>
        <v>2</v>
      </c>
      <c r="D15" s="167" t="str">
        <f t="shared" si="36"/>
        <v>no</v>
      </c>
      <c r="E15" s="168">
        <v>7</v>
      </c>
      <c r="F15" s="168">
        <f t="shared" si="37"/>
        <v>130</v>
      </c>
      <c r="G15" s="165">
        <f t="shared" si="38"/>
        <v>910</v>
      </c>
      <c r="H15" s="168"/>
      <c r="I15" s="165">
        <f t="shared" si="39"/>
        <v>910</v>
      </c>
      <c r="J15" s="165">
        <f t="shared" si="41"/>
        <v>6730</v>
      </c>
      <c r="K15" s="165">
        <f t="shared" si="18"/>
        <v>50.535440000000001</v>
      </c>
      <c r="L15" s="165">
        <f t="shared" si="10"/>
        <v>88.06</v>
      </c>
      <c r="M15" s="165">
        <f t="shared" si="19"/>
        <v>176.12</v>
      </c>
      <c r="N15" s="165">
        <f t="shared" si="20"/>
        <v>88.06</v>
      </c>
      <c r="O15" s="165">
        <f t="shared" si="11"/>
        <v>0</v>
      </c>
      <c r="P15" s="165">
        <f t="shared" si="21"/>
        <v>37.524560000000001</v>
      </c>
      <c r="Q15" s="165">
        <f t="shared" si="12"/>
        <v>37.524560000000001</v>
      </c>
      <c r="R15" s="165">
        <f t="shared" si="22"/>
        <v>0</v>
      </c>
      <c r="S15" s="165">
        <f t="shared" si="23"/>
        <v>0</v>
      </c>
      <c r="T15" s="165">
        <f t="shared" si="24"/>
        <v>0</v>
      </c>
      <c r="U15" s="165">
        <f t="shared" si="25"/>
        <v>0</v>
      </c>
      <c r="V15" s="165">
        <f t="shared" si="26"/>
        <v>0</v>
      </c>
      <c r="W15" s="165">
        <f t="shared" si="13"/>
        <v>0</v>
      </c>
      <c r="X15" s="165">
        <f t="shared" si="27"/>
        <v>0</v>
      </c>
      <c r="Y15" s="165">
        <f t="shared" si="40"/>
        <v>0</v>
      </c>
      <c r="Z15" s="165">
        <f t="shared" si="29"/>
        <v>0</v>
      </c>
      <c r="AA15" s="165">
        <f t="shared" si="30"/>
        <v>0</v>
      </c>
      <c r="AB15" s="165">
        <f t="shared" si="31"/>
        <v>0</v>
      </c>
      <c r="AC15" s="165">
        <f t="shared" si="32"/>
        <v>0</v>
      </c>
      <c r="AD15" s="165">
        <f t="shared" si="33"/>
        <v>947.52455999999995</v>
      </c>
      <c r="AE15" s="128"/>
      <c r="AH15" s="1"/>
      <c r="AI15" s="129"/>
    </row>
    <row r="16" spans="1:35">
      <c r="A16" s="165">
        <f t="shared" si="34"/>
        <v>9</v>
      </c>
      <c r="B16" s="166">
        <f t="shared" si="14"/>
        <v>43524</v>
      </c>
      <c r="C16" s="165">
        <f t="shared" si="35"/>
        <v>2</v>
      </c>
      <c r="D16" s="167" t="str">
        <f t="shared" si="36"/>
        <v>Si</v>
      </c>
      <c r="E16" s="168">
        <v>7</v>
      </c>
      <c r="F16" s="168">
        <f t="shared" si="37"/>
        <v>130</v>
      </c>
      <c r="G16" s="165">
        <f t="shared" si="38"/>
        <v>910</v>
      </c>
      <c r="H16" s="168"/>
      <c r="I16" s="165">
        <f t="shared" si="39"/>
        <v>910</v>
      </c>
      <c r="J16" s="165">
        <f t="shared" si="41"/>
        <v>7640</v>
      </c>
      <c r="K16" s="165">
        <f t="shared" si="18"/>
        <v>50.535440000000001</v>
      </c>
      <c r="L16" s="165">
        <f t="shared" si="10"/>
        <v>88.06</v>
      </c>
      <c r="M16" s="165">
        <f t="shared" si="19"/>
        <v>264.18</v>
      </c>
      <c r="N16" s="165">
        <f t="shared" si="20"/>
        <v>0</v>
      </c>
      <c r="O16" s="165">
        <f t="shared" si="11"/>
        <v>0</v>
      </c>
      <c r="P16" s="165">
        <f t="shared" si="21"/>
        <v>0</v>
      </c>
      <c r="Q16" s="165">
        <f t="shared" si="12"/>
        <v>0</v>
      </c>
      <c r="R16" s="165">
        <f t="shared" si="22"/>
        <v>514.13387199999988</v>
      </c>
      <c r="S16" s="165">
        <f t="shared" si="23"/>
        <v>0</v>
      </c>
      <c r="T16" s="165">
        <f t="shared" si="24"/>
        <v>514.13387199999988</v>
      </c>
      <c r="U16" s="165">
        <f t="shared" si="25"/>
        <v>0</v>
      </c>
      <c r="V16" s="165">
        <f t="shared" si="26"/>
        <v>176.12</v>
      </c>
      <c r="W16" s="165">
        <f t="shared" si="13"/>
        <v>0</v>
      </c>
      <c r="X16" s="165">
        <f t="shared" si="27"/>
        <v>101.07088</v>
      </c>
      <c r="Y16" s="165">
        <f t="shared" si="40"/>
        <v>101.07088</v>
      </c>
      <c r="Z16" s="165">
        <f t="shared" si="29"/>
        <v>251.61628000000007</v>
      </c>
      <c r="AA16" s="165">
        <f t="shared" si="30"/>
        <v>75.049120000000002</v>
      </c>
      <c r="AB16" s="165">
        <f>IF(V16=0,0,AA16)</f>
        <v>75.049120000000002</v>
      </c>
      <c r="AC16" s="165">
        <f t="shared" si="32"/>
        <v>0</v>
      </c>
      <c r="AD16" s="165">
        <f t="shared" si="33"/>
        <v>985.49628000000007</v>
      </c>
      <c r="AE16" s="128"/>
      <c r="AH16" s="1"/>
      <c r="AI16" s="122"/>
    </row>
    <row r="17" spans="1:35">
      <c r="A17" s="165">
        <f t="shared" si="34"/>
        <v>10</v>
      </c>
      <c r="B17" s="166">
        <f t="shared" si="14"/>
        <v>43531</v>
      </c>
      <c r="C17" s="165">
        <f t="shared" si="35"/>
        <v>3</v>
      </c>
      <c r="D17" s="167" t="str">
        <f t="shared" si="36"/>
        <v>no</v>
      </c>
      <c r="E17" s="168">
        <v>7</v>
      </c>
      <c r="F17" s="168">
        <f t="shared" si="37"/>
        <v>130</v>
      </c>
      <c r="G17" s="165">
        <f t="shared" si="38"/>
        <v>910</v>
      </c>
      <c r="H17" s="168"/>
      <c r="I17" s="165">
        <f t="shared" si="39"/>
        <v>910</v>
      </c>
      <c r="J17" s="165">
        <f t="shared" si="41"/>
        <v>910</v>
      </c>
      <c r="K17" s="165">
        <f t="shared" si="18"/>
        <v>50.535440000000001</v>
      </c>
      <c r="L17" s="165">
        <f t="shared" si="10"/>
        <v>88.06</v>
      </c>
      <c r="M17" s="165">
        <f t="shared" si="19"/>
        <v>88.06</v>
      </c>
      <c r="N17" s="165">
        <f t="shared" si="20"/>
        <v>88.06</v>
      </c>
      <c r="O17" s="165">
        <f t="shared" si="11"/>
        <v>0</v>
      </c>
      <c r="P17" s="165">
        <f t="shared" si="21"/>
        <v>37.524560000000001</v>
      </c>
      <c r="Q17" s="165">
        <f t="shared" si="12"/>
        <v>37.524560000000001</v>
      </c>
      <c r="R17" s="165">
        <f t="shared" si="22"/>
        <v>0</v>
      </c>
      <c r="S17" s="165">
        <f t="shared" si="23"/>
        <v>0</v>
      </c>
      <c r="T17" s="165">
        <f t="shared" si="24"/>
        <v>0</v>
      </c>
      <c r="U17" s="165">
        <f t="shared" si="25"/>
        <v>0</v>
      </c>
      <c r="V17" s="165">
        <f t="shared" si="26"/>
        <v>0</v>
      </c>
      <c r="W17" s="165">
        <f t="shared" si="13"/>
        <v>0</v>
      </c>
      <c r="X17" s="165">
        <f t="shared" si="27"/>
        <v>0</v>
      </c>
      <c r="Y17" s="165">
        <f t="shared" si="40"/>
        <v>0</v>
      </c>
      <c r="Z17" s="165">
        <f t="shared" si="29"/>
        <v>0</v>
      </c>
      <c r="AA17" s="165">
        <f t="shared" si="30"/>
        <v>0</v>
      </c>
      <c r="AB17" s="165">
        <f t="shared" ref="AB17:AB60" si="42">IF(V17=0,0,AA17)</f>
        <v>0</v>
      </c>
      <c r="AC17" s="165">
        <f t="shared" si="32"/>
        <v>0</v>
      </c>
      <c r="AD17" s="165">
        <f t="shared" si="33"/>
        <v>947.52455999999995</v>
      </c>
      <c r="AE17" s="128"/>
      <c r="AH17" s="1"/>
      <c r="AI17" s="122"/>
    </row>
    <row r="18" spans="1:35">
      <c r="A18" s="165">
        <f t="shared" si="34"/>
        <v>11</v>
      </c>
      <c r="B18" s="166">
        <f t="shared" si="14"/>
        <v>43538</v>
      </c>
      <c r="C18" s="165">
        <f t="shared" si="35"/>
        <v>3</v>
      </c>
      <c r="D18" s="167" t="str">
        <f t="shared" si="36"/>
        <v>no</v>
      </c>
      <c r="E18" s="168">
        <v>7</v>
      </c>
      <c r="F18" s="168">
        <f t="shared" si="37"/>
        <v>130</v>
      </c>
      <c r="G18" s="165">
        <f t="shared" si="38"/>
        <v>910</v>
      </c>
      <c r="H18" s="168"/>
      <c r="I18" s="165">
        <f t="shared" si="39"/>
        <v>910</v>
      </c>
      <c r="J18" s="165">
        <f t="shared" si="41"/>
        <v>1820</v>
      </c>
      <c r="K18" s="165">
        <f t="shared" si="18"/>
        <v>50.535440000000001</v>
      </c>
      <c r="L18" s="165">
        <f t="shared" si="10"/>
        <v>88.06</v>
      </c>
      <c r="M18" s="165">
        <f t="shared" si="19"/>
        <v>176.12</v>
      </c>
      <c r="N18" s="165">
        <f t="shared" si="20"/>
        <v>88.06</v>
      </c>
      <c r="O18" s="165">
        <f t="shared" si="11"/>
        <v>0</v>
      </c>
      <c r="P18" s="165">
        <f t="shared" si="21"/>
        <v>37.524560000000001</v>
      </c>
      <c r="Q18" s="165">
        <f t="shared" si="12"/>
        <v>37.524560000000001</v>
      </c>
      <c r="R18" s="165">
        <f t="shared" si="22"/>
        <v>0</v>
      </c>
      <c r="S18" s="165">
        <f t="shared" si="23"/>
        <v>0</v>
      </c>
      <c r="T18" s="165">
        <f t="shared" si="24"/>
        <v>0</v>
      </c>
      <c r="U18" s="165">
        <f t="shared" si="25"/>
        <v>0</v>
      </c>
      <c r="V18" s="165">
        <f t="shared" si="26"/>
        <v>0</v>
      </c>
      <c r="W18" s="165">
        <f t="shared" si="13"/>
        <v>0</v>
      </c>
      <c r="X18" s="165">
        <f t="shared" si="27"/>
        <v>0</v>
      </c>
      <c r="Y18" s="165">
        <f t="shared" si="40"/>
        <v>0</v>
      </c>
      <c r="Z18" s="165">
        <f t="shared" si="29"/>
        <v>0</v>
      </c>
      <c r="AA18" s="165">
        <f t="shared" si="30"/>
        <v>0</v>
      </c>
      <c r="AB18" s="165">
        <f t="shared" si="42"/>
        <v>0</v>
      </c>
      <c r="AC18" s="165">
        <f t="shared" si="32"/>
        <v>0</v>
      </c>
      <c r="AD18" s="165">
        <f t="shared" si="33"/>
        <v>947.52455999999995</v>
      </c>
      <c r="AE18" s="128"/>
      <c r="AH18" s="1"/>
      <c r="AI18" s="122"/>
    </row>
    <row r="19" spans="1:35">
      <c r="A19" s="165">
        <f t="shared" si="34"/>
        <v>12</v>
      </c>
      <c r="B19" s="166">
        <f t="shared" si="14"/>
        <v>43545</v>
      </c>
      <c r="C19" s="165">
        <f t="shared" si="35"/>
        <v>3</v>
      </c>
      <c r="D19" s="167" t="str">
        <f t="shared" si="36"/>
        <v>no</v>
      </c>
      <c r="E19" s="168">
        <v>7</v>
      </c>
      <c r="F19" s="168">
        <f t="shared" si="37"/>
        <v>130</v>
      </c>
      <c r="G19" s="165">
        <f t="shared" si="38"/>
        <v>910</v>
      </c>
      <c r="H19" s="168"/>
      <c r="I19" s="165">
        <f t="shared" si="39"/>
        <v>910</v>
      </c>
      <c r="J19" s="165">
        <f t="shared" si="41"/>
        <v>2730</v>
      </c>
      <c r="K19" s="165">
        <f t="shared" si="18"/>
        <v>50.535440000000001</v>
      </c>
      <c r="L19" s="165">
        <f t="shared" si="10"/>
        <v>88.06</v>
      </c>
      <c r="M19" s="165">
        <f t="shared" si="19"/>
        <v>264.18</v>
      </c>
      <c r="N19" s="165">
        <f t="shared" si="20"/>
        <v>88.06</v>
      </c>
      <c r="O19" s="165">
        <f t="shared" si="11"/>
        <v>0</v>
      </c>
      <c r="P19" s="165">
        <f t="shared" si="21"/>
        <v>37.524560000000001</v>
      </c>
      <c r="Q19" s="165">
        <f t="shared" si="12"/>
        <v>37.524560000000001</v>
      </c>
      <c r="R19" s="165">
        <f t="shared" si="22"/>
        <v>0</v>
      </c>
      <c r="S19" s="165">
        <f t="shared" si="23"/>
        <v>0</v>
      </c>
      <c r="T19" s="165">
        <f t="shared" si="24"/>
        <v>0</v>
      </c>
      <c r="U19" s="165">
        <f t="shared" si="25"/>
        <v>0</v>
      </c>
      <c r="V19" s="165">
        <f t="shared" si="26"/>
        <v>0</v>
      </c>
      <c r="W19" s="165">
        <f t="shared" si="13"/>
        <v>0</v>
      </c>
      <c r="X19" s="165">
        <f t="shared" si="27"/>
        <v>0</v>
      </c>
      <c r="Y19" s="165">
        <f t="shared" si="40"/>
        <v>0</v>
      </c>
      <c r="Z19" s="165">
        <f t="shared" si="29"/>
        <v>0</v>
      </c>
      <c r="AA19" s="165">
        <f t="shared" si="30"/>
        <v>0</v>
      </c>
      <c r="AB19" s="165">
        <f t="shared" si="42"/>
        <v>0</v>
      </c>
      <c r="AC19" s="165">
        <f t="shared" si="32"/>
        <v>0</v>
      </c>
      <c r="AD19" s="165">
        <f t="shared" si="33"/>
        <v>947.52455999999995</v>
      </c>
      <c r="AE19" s="128"/>
      <c r="AG19" s="124"/>
      <c r="AH19" s="124"/>
      <c r="AI19" s="122"/>
    </row>
    <row r="20" spans="1:35">
      <c r="A20" s="165">
        <f t="shared" si="34"/>
        <v>13</v>
      </c>
      <c r="B20" s="166">
        <f t="shared" si="14"/>
        <v>43552</v>
      </c>
      <c r="C20" s="165">
        <f t="shared" si="35"/>
        <v>3</v>
      </c>
      <c r="D20" s="167" t="str">
        <f t="shared" si="36"/>
        <v>Si</v>
      </c>
      <c r="E20" s="168">
        <v>7</v>
      </c>
      <c r="F20" s="168">
        <f t="shared" si="37"/>
        <v>130</v>
      </c>
      <c r="G20" s="165">
        <f t="shared" si="38"/>
        <v>910</v>
      </c>
      <c r="H20" s="168"/>
      <c r="I20" s="165">
        <f t="shared" si="39"/>
        <v>910</v>
      </c>
      <c r="J20" s="165">
        <f t="shared" si="41"/>
        <v>3640</v>
      </c>
      <c r="K20" s="165">
        <f t="shared" si="18"/>
        <v>50.535440000000001</v>
      </c>
      <c r="L20" s="165">
        <f t="shared" si="10"/>
        <v>88.06</v>
      </c>
      <c r="M20" s="165">
        <f t="shared" si="19"/>
        <v>352.24</v>
      </c>
      <c r="N20" s="165">
        <f t="shared" si="20"/>
        <v>88.06</v>
      </c>
      <c r="O20" s="165">
        <f t="shared" si="11"/>
        <v>0</v>
      </c>
      <c r="P20" s="165">
        <f t="shared" si="21"/>
        <v>37.524560000000001</v>
      </c>
      <c r="Q20" s="165">
        <f t="shared" si="12"/>
        <v>37.524560000000001</v>
      </c>
      <c r="R20" s="165">
        <f t="shared" si="22"/>
        <v>199.53279999999998</v>
      </c>
      <c r="S20" s="165">
        <f t="shared" si="23"/>
        <v>382.46</v>
      </c>
      <c r="T20" s="165">
        <f t="shared" si="24"/>
        <v>0</v>
      </c>
      <c r="U20" s="165">
        <f t="shared" si="25"/>
        <v>182.9272</v>
      </c>
      <c r="V20" s="165">
        <f t="shared" si="26"/>
        <v>0</v>
      </c>
      <c r="W20" s="165">
        <f t="shared" si="13"/>
        <v>30.21999999999997</v>
      </c>
      <c r="X20" s="165">
        <f t="shared" si="27"/>
        <v>0</v>
      </c>
      <c r="Y20" s="165">
        <f t="shared" si="40"/>
        <v>0</v>
      </c>
      <c r="Z20" s="165">
        <f t="shared" si="29"/>
        <v>0</v>
      </c>
      <c r="AA20" s="165">
        <f t="shared" si="30"/>
        <v>0</v>
      </c>
      <c r="AB20" s="165">
        <f t="shared" si="42"/>
        <v>0</v>
      </c>
      <c r="AC20" s="165">
        <f t="shared" si="32"/>
        <v>32.828959999999995</v>
      </c>
      <c r="AD20" s="165">
        <f t="shared" si="33"/>
        <v>980.35351999999989</v>
      </c>
      <c r="AE20" s="128"/>
      <c r="AH20" s="1"/>
      <c r="AI20" s="122"/>
    </row>
    <row r="21" spans="1:35">
      <c r="A21" s="165">
        <f t="shared" si="34"/>
        <v>14</v>
      </c>
      <c r="B21" s="166">
        <f t="shared" si="14"/>
        <v>43559</v>
      </c>
      <c r="C21" s="165">
        <f t="shared" si="35"/>
        <v>4</v>
      </c>
      <c r="D21" s="167" t="str">
        <f t="shared" si="36"/>
        <v>no</v>
      </c>
      <c r="E21" s="168">
        <v>7</v>
      </c>
      <c r="F21" s="168">
        <f t="shared" si="37"/>
        <v>130</v>
      </c>
      <c r="G21" s="165">
        <f t="shared" si="38"/>
        <v>910</v>
      </c>
      <c r="H21" s="168"/>
      <c r="I21" s="165">
        <f t="shared" si="39"/>
        <v>910</v>
      </c>
      <c r="J21" s="165">
        <f t="shared" si="41"/>
        <v>910</v>
      </c>
      <c r="K21" s="165">
        <f t="shared" si="18"/>
        <v>50.535440000000001</v>
      </c>
      <c r="L21" s="165">
        <f t="shared" si="10"/>
        <v>88.06</v>
      </c>
      <c r="M21" s="165">
        <f t="shared" si="19"/>
        <v>88.06</v>
      </c>
      <c r="N21" s="165">
        <f t="shared" si="20"/>
        <v>88.06</v>
      </c>
      <c r="O21" s="165">
        <f t="shared" si="11"/>
        <v>0</v>
      </c>
      <c r="P21" s="165">
        <f t="shared" si="21"/>
        <v>37.524560000000001</v>
      </c>
      <c r="Q21" s="165">
        <f t="shared" si="12"/>
        <v>37.524560000000001</v>
      </c>
      <c r="R21" s="165">
        <f t="shared" si="22"/>
        <v>0</v>
      </c>
      <c r="S21" s="165">
        <f t="shared" si="23"/>
        <v>0</v>
      </c>
      <c r="T21" s="165">
        <f t="shared" si="24"/>
        <v>0</v>
      </c>
      <c r="U21" s="165">
        <f t="shared" si="25"/>
        <v>0</v>
      </c>
      <c r="V21" s="165">
        <f t="shared" si="26"/>
        <v>0</v>
      </c>
      <c r="W21" s="165">
        <f t="shared" si="13"/>
        <v>0</v>
      </c>
      <c r="X21" s="165">
        <f t="shared" si="27"/>
        <v>0</v>
      </c>
      <c r="Y21" s="165">
        <f t="shared" si="40"/>
        <v>0</v>
      </c>
      <c r="Z21" s="165">
        <f t="shared" si="29"/>
        <v>0</v>
      </c>
      <c r="AA21" s="165">
        <f t="shared" si="30"/>
        <v>0</v>
      </c>
      <c r="AB21" s="165">
        <f t="shared" si="42"/>
        <v>0</v>
      </c>
      <c r="AC21" s="165">
        <f t="shared" si="32"/>
        <v>0</v>
      </c>
      <c r="AD21" s="165">
        <f t="shared" si="33"/>
        <v>947.52455999999995</v>
      </c>
      <c r="AE21" s="128"/>
      <c r="AH21" s="1"/>
      <c r="AI21" s="122"/>
    </row>
    <row r="22" spans="1:35">
      <c r="A22" s="165">
        <f t="shared" si="34"/>
        <v>15</v>
      </c>
      <c r="B22" s="166">
        <f t="shared" si="14"/>
        <v>43566</v>
      </c>
      <c r="C22" s="165">
        <f t="shared" si="35"/>
        <v>4</v>
      </c>
      <c r="D22" s="167" t="str">
        <f t="shared" si="36"/>
        <v>no</v>
      </c>
      <c r="E22" s="168">
        <v>7</v>
      </c>
      <c r="F22" s="168">
        <f t="shared" si="37"/>
        <v>130</v>
      </c>
      <c r="G22" s="165">
        <f t="shared" si="38"/>
        <v>910</v>
      </c>
      <c r="H22" s="168"/>
      <c r="I22" s="165">
        <f t="shared" si="39"/>
        <v>910</v>
      </c>
      <c r="J22" s="165">
        <f t="shared" si="41"/>
        <v>1820</v>
      </c>
      <c r="K22" s="165">
        <f t="shared" si="18"/>
        <v>50.535440000000001</v>
      </c>
      <c r="L22" s="165">
        <f t="shared" si="10"/>
        <v>88.06</v>
      </c>
      <c r="M22" s="165">
        <f t="shared" si="19"/>
        <v>176.12</v>
      </c>
      <c r="N22" s="165">
        <f t="shared" si="20"/>
        <v>88.06</v>
      </c>
      <c r="O22" s="165">
        <f t="shared" si="11"/>
        <v>0</v>
      </c>
      <c r="P22" s="165">
        <f t="shared" si="21"/>
        <v>37.524560000000001</v>
      </c>
      <c r="Q22" s="165">
        <f t="shared" si="12"/>
        <v>37.524560000000001</v>
      </c>
      <c r="R22" s="165">
        <f t="shared" si="22"/>
        <v>0</v>
      </c>
      <c r="S22" s="165">
        <f t="shared" si="23"/>
        <v>0</v>
      </c>
      <c r="T22" s="165">
        <f t="shared" si="24"/>
        <v>0</v>
      </c>
      <c r="U22" s="165">
        <f t="shared" si="25"/>
        <v>0</v>
      </c>
      <c r="V22" s="165">
        <f t="shared" si="26"/>
        <v>0</v>
      </c>
      <c r="W22" s="165">
        <f t="shared" si="13"/>
        <v>0</v>
      </c>
      <c r="X22" s="165">
        <f t="shared" si="27"/>
        <v>0</v>
      </c>
      <c r="Y22" s="165">
        <f t="shared" si="40"/>
        <v>0</v>
      </c>
      <c r="Z22" s="165">
        <f t="shared" si="29"/>
        <v>0</v>
      </c>
      <c r="AA22" s="165">
        <f t="shared" si="30"/>
        <v>0</v>
      </c>
      <c r="AB22" s="165">
        <f t="shared" si="42"/>
        <v>0</v>
      </c>
      <c r="AC22" s="165">
        <f t="shared" si="32"/>
        <v>0</v>
      </c>
      <c r="AD22" s="165">
        <f t="shared" si="33"/>
        <v>947.52455999999995</v>
      </c>
      <c r="AE22" s="128"/>
    </row>
    <row r="23" spans="1:35">
      <c r="A23" s="165">
        <f t="shared" si="34"/>
        <v>16</v>
      </c>
      <c r="B23" s="166">
        <f t="shared" si="14"/>
        <v>43573</v>
      </c>
      <c r="C23" s="165">
        <f t="shared" si="35"/>
        <v>4</v>
      </c>
      <c r="D23" s="167" t="str">
        <f t="shared" si="36"/>
        <v>no</v>
      </c>
      <c r="E23" s="168">
        <v>7</v>
      </c>
      <c r="F23" s="168">
        <f t="shared" si="37"/>
        <v>130</v>
      </c>
      <c r="G23" s="165">
        <f t="shared" si="38"/>
        <v>910</v>
      </c>
      <c r="H23" s="168"/>
      <c r="I23" s="165">
        <f t="shared" si="39"/>
        <v>910</v>
      </c>
      <c r="J23" s="165">
        <f t="shared" si="41"/>
        <v>2730</v>
      </c>
      <c r="K23" s="165">
        <f t="shared" si="18"/>
        <v>50.535440000000001</v>
      </c>
      <c r="L23" s="165">
        <f t="shared" si="10"/>
        <v>88.06</v>
      </c>
      <c r="M23" s="165">
        <f t="shared" si="19"/>
        <v>264.18</v>
      </c>
      <c r="N23" s="165">
        <f t="shared" si="20"/>
        <v>88.06</v>
      </c>
      <c r="O23" s="165">
        <f t="shared" si="11"/>
        <v>0</v>
      </c>
      <c r="P23" s="165">
        <f t="shared" si="21"/>
        <v>37.524560000000001</v>
      </c>
      <c r="Q23" s="165">
        <f t="shared" si="12"/>
        <v>37.524560000000001</v>
      </c>
      <c r="R23" s="165">
        <f t="shared" si="22"/>
        <v>0</v>
      </c>
      <c r="S23" s="165">
        <f t="shared" si="23"/>
        <v>0</v>
      </c>
      <c r="T23" s="165">
        <f t="shared" si="24"/>
        <v>0</v>
      </c>
      <c r="U23" s="165">
        <f t="shared" si="25"/>
        <v>0</v>
      </c>
      <c r="V23" s="165">
        <f t="shared" si="26"/>
        <v>0</v>
      </c>
      <c r="W23" s="165">
        <f t="shared" si="13"/>
        <v>0</v>
      </c>
      <c r="X23" s="165">
        <f t="shared" si="27"/>
        <v>0</v>
      </c>
      <c r="Y23" s="165">
        <f t="shared" si="40"/>
        <v>0</v>
      </c>
      <c r="Z23" s="165">
        <f t="shared" si="29"/>
        <v>0</v>
      </c>
      <c r="AA23" s="165">
        <f t="shared" si="30"/>
        <v>0</v>
      </c>
      <c r="AB23" s="165">
        <f t="shared" si="42"/>
        <v>0</v>
      </c>
      <c r="AC23" s="165">
        <f t="shared" si="32"/>
        <v>0</v>
      </c>
      <c r="AD23" s="165">
        <f t="shared" si="33"/>
        <v>947.52455999999995</v>
      </c>
      <c r="AE23" s="128"/>
    </row>
    <row r="24" spans="1:35">
      <c r="A24" s="165">
        <f t="shared" si="34"/>
        <v>17</v>
      </c>
      <c r="B24" s="166">
        <f t="shared" si="14"/>
        <v>43580</v>
      </c>
      <c r="C24" s="165">
        <f t="shared" si="35"/>
        <v>4</v>
      </c>
      <c r="D24" s="167" t="str">
        <f t="shared" si="36"/>
        <v>Si</v>
      </c>
      <c r="E24" s="168">
        <v>7</v>
      </c>
      <c r="F24" s="168">
        <f t="shared" si="37"/>
        <v>130</v>
      </c>
      <c r="G24" s="165">
        <f t="shared" si="38"/>
        <v>910</v>
      </c>
      <c r="H24" s="168"/>
      <c r="I24" s="165">
        <f t="shared" si="39"/>
        <v>910</v>
      </c>
      <c r="J24" s="165">
        <f t="shared" si="41"/>
        <v>3640</v>
      </c>
      <c r="K24" s="165">
        <f t="shared" si="18"/>
        <v>50.535440000000001</v>
      </c>
      <c r="L24" s="165">
        <f t="shared" si="10"/>
        <v>88.06</v>
      </c>
      <c r="M24" s="165">
        <f t="shared" si="19"/>
        <v>352.24</v>
      </c>
      <c r="N24" s="165">
        <f t="shared" si="20"/>
        <v>88.06</v>
      </c>
      <c r="O24" s="165">
        <f t="shared" si="11"/>
        <v>0</v>
      </c>
      <c r="P24" s="165">
        <f t="shared" si="21"/>
        <v>37.524560000000001</v>
      </c>
      <c r="Q24" s="165">
        <f t="shared" si="12"/>
        <v>37.524560000000001</v>
      </c>
      <c r="R24" s="165">
        <f t="shared" si="22"/>
        <v>199.53279999999998</v>
      </c>
      <c r="S24" s="165">
        <f t="shared" si="23"/>
        <v>382.46</v>
      </c>
      <c r="T24" s="165">
        <f t="shared" si="24"/>
        <v>0</v>
      </c>
      <c r="U24" s="165">
        <f t="shared" si="25"/>
        <v>182.9272</v>
      </c>
      <c r="V24" s="165">
        <f t="shared" si="26"/>
        <v>0</v>
      </c>
      <c r="W24" s="165">
        <f t="shared" si="13"/>
        <v>30.21999999999997</v>
      </c>
      <c r="X24" s="165">
        <f t="shared" si="27"/>
        <v>0</v>
      </c>
      <c r="Y24" s="165">
        <f t="shared" si="40"/>
        <v>0</v>
      </c>
      <c r="Z24" s="165">
        <f t="shared" si="29"/>
        <v>0</v>
      </c>
      <c r="AA24" s="165">
        <f t="shared" si="30"/>
        <v>0</v>
      </c>
      <c r="AB24" s="165">
        <f t="shared" si="42"/>
        <v>0</v>
      </c>
      <c r="AC24" s="165">
        <f t="shared" si="32"/>
        <v>32.828959999999995</v>
      </c>
      <c r="AD24" s="165">
        <f t="shared" si="33"/>
        <v>980.35351999999989</v>
      </c>
      <c r="AE24" s="128"/>
    </row>
    <row r="25" spans="1:35">
      <c r="A25" s="165">
        <f t="shared" si="34"/>
        <v>18</v>
      </c>
      <c r="B25" s="166">
        <f t="shared" si="14"/>
        <v>43587</v>
      </c>
      <c r="C25" s="165">
        <f t="shared" si="35"/>
        <v>5</v>
      </c>
      <c r="D25" s="167" t="str">
        <f t="shared" si="36"/>
        <v>no</v>
      </c>
      <c r="E25" s="168">
        <v>7</v>
      </c>
      <c r="F25" s="168">
        <f t="shared" si="37"/>
        <v>130</v>
      </c>
      <c r="G25" s="165">
        <f t="shared" si="38"/>
        <v>910</v>
      </c>
      <c r="H25" s="168"/>
      <c r="I25" s="165">
        <f t="shared" si="39"/>
        <v>910</v>
      </c>
      <c r="J25" s="165">
        <f t="shared" si="41"/>
        <v>910</v>
      </c>
      <c r="K25" s="165">
        <f t="shared" si="18"/>
        <v>50.535440000000001</v>
      </c>
      <c r="L25" s="165">
        <f t="shared" si="10"/>
        <v>88.06</v>
      </c>
      <c r="M25" s="165">
        <f t="shared" si="19"/>
        <v>88.06</v>
      </c>
      <c r="N25" s="165">
        <f t="shared" si="20"/>
        <v>88.06</v>
      </c>
      <c r="O25" s="165">
        <f t="shared" si="11"/>
        <v>0</v>
      </c>
      <c r="P25" s="165">
        <f t="shared" si="21"/>
        <v>37.524560000000001</v>
      </c>
      <c r="Q25" s="165">
        <f t="shared" si="12"/>
        <v>37.524560000000001</v>
      </c>
      <c r="R25" s="165">
        <f t="shared" si="22"/>
        <v>0</v>
      </c>
      <c r="S25" s="165">
        <f t="shared" si="23"/>
        <v>0</v>
      </c>
      <c r="T25" s="165">
        <f t="shared" si="24"/>
        <v>0</v>
      </c>
      <c r="U25" s="165">
        <f t="shared" si="25"/>
        <v>0</v>
      </c>
      <c r="V25" s="165">
        <f t="shared" si="26"/>
        <v>0</v>
      </c>
      <c r="W25" s="165">
        <f t="shared" si="13"/>
        <v>0</v>
      </c>
      <c r="X25" s="165">
        <f t="shared" si="27"/>
        <v>0</v>
      </c>
      <c r="Y25" s="165">
        <f t="shared" si="40"/>
        <v>0</v>
      </c>
      <c r="Z25" s="165">
        <f t="shared" si="29"/>
        <v>0</v>
      </c>
      <c r="AA25" s="165">
        <f t="shared" si="30"/>
        <v>0</v>
      </c>
      <c r="AB25" s="165">
        <f t="shared" si="42"/>
        <v>0</v>
      </c>
      <c r="AC25" s="165">
        <f t="shared" si="32"/>
        <v>0</v>
      </c>
      <c r="AD25" s="165">
        <f t="shared" si="33"/>
        <v>947.52455999999995</v>
      </c>
      <c r="AE25" s="128"/>
    </row>
    <row r="26" spans="1:35">
      <c r="A26" s="165">
        <f t="shared" si="34"/>
        <v>19</v>
      </c>
      <c r="B26" s="166">
        <f t="shared" si="14"/>
        <v>43594</v>
      </c>
      <c r="C26" s="165">
        <f t="shared" si="35"/>
        <v>5</v>
      </c>
      <c r="D26" s="167" t="str">
        <f t="shared" si="36"/>
        <v>no</v>
      </c>
      <c r="E26" s="168">
        <v>7</v>
      </c>
      <c r="F26" s="168">
        <f t="shared" si="37"/>
        <v>130</v>
      </c>
      <c r="G26" s="165">
        <f t="shared" si="38"/>
        <v>910</v>
      </c>
      <c r="H26" s="168"/>
      <c r="I26" s="165">
        <f t="shared" si="39"/>
        <v>910</v>
      </c>
      <c r="J26" s="165">
        <f t="shared" si="41"/>
        <v>1820</v>
      </c>
      <c r="K26" s="165">
        <f t="shared" si="18"/>
        <v>50.535440000000001</v>
      </c>
      <c r="L26" s="165">
        <f t="shared" si="10"/>
        <v>88.06</v>
      </c>
      <c r="M26" s="165">
        <f t="shared" si="19"/>
        <v>176.12</v>
      </c>
      <c r="N26" s="165">
        <f t="shared" si="20"/>
        <v>88.06</v>
      </c>
      <c r="O26" s="165">
        <f t="shared" si="11"/>
        <v>0</v>
      </c>
      <c r="P26" s="165">
        <f t="shared" si="21"/>
        <v>37.524560000000001</v>
      </c>
      <c r="Q26" s="165">
        <f t="shared" si="12"/>
        <v>37.524560000000001</v>
      </c>
      <c r="R26" s="165">
        <f t="shared" si="22"/>
        <v>0</v>
      </c>
      <c r="S26" s="165">
        <f t="shared" si="23"/>
        <v>0</v>
      </c>
      <c r="T26" s="165">
        <f t="shared" si="24"/>
        <v>0</v>
      </c>
      <c r="U26" s="165">
        <f t="shared" si="25"/>
        <v>0</v>
      </c>
      <c r="V26" s="165">
        <f t="shared" si="26"/>
        <v>0</v>
      </c>
      <c r="W26" s="165">
        <f t="shared" si="13"/>
        <v>0</v>
      </c>
      <c r="X26" s="165">
        <f t="shared" si="27"/>
        <v>0</v>
      </c>
      <c r="Y26" s="165">
        <f t="shared" si="40"/>
        <v>0</v>
      </c>
      <c r="Z26" s="165">
        <f t="shared" si="29"/>
        <v>0</v>
      </c>
      <c r="AA26" s="165">
        <f t="shared" si="30"/>
        <v>0</v>
      </c>
      <c r="AB26" s="165">
        <f t="shared" si="42"/>
        <v>0</v>
      </c>
      <c r="AC26" s="165">
        <f t="shared" si="32"/>
        <v>0</v>
      </c>
      <c r="AD26" s="165">
        <f t="shared" si="33"/>
        <v>947.52455999999995</v>
      </c>
      <c r="AE26" s="128"/>
    </row>
    <row r="27" spans="1:35">
      <c r="A27" s="165">
        <f t="shared" si="34"/>
        <v>20</v>
      </c>
      <c r="B27" s="166">
        <f t="shared" si="14"/>
        <v>43601</v>
      </c>
      <c r="C27" s="165">
        <f t="shared" si="35"/>
        <v>5</v>
      </c>
      <c r="D27" s="167" t="str">
        <f t="shared" si="36"/>
        <v>no</v>
      </c>
      <c r="E27" s="168">
        <v>7</v>
      </c>
      <c r="F27" s="168">
        <f t="shared" si="37"/>
        <v>130</v>
      </c>
      <c r="G27" s="165">
        <f t="shared" si="38"/>
        <v>910</v>
      </c>
      <c r="H27" s="168"/>
      <c r="I27" s="165">
        <f t="shared" si="39"/>
        <v>910</v>
      </c>
      <c r="J27" s="165">
        <f t="shared" si="41"/>
        <v>2730</v>
      </c>
      <c r="K27" s="165">
        <f t="shared" si="18"/>
        <v>50.535440000000001</v>
      </c>
      <c r="L27" s="165">
        <f t="shared" si="10"/>
        <v>88.06</v>
      </c>
      <c r="M27" s="165">
        <f t="shared" si="19"/>
        <v>264.18</v>
      </c>
      <c r="N27" s="165">
        <f t="shared" si="20"/>
        <v>88.06</v>
      </c>
      <c r="O27" s="165">
        <f t="shared" si="11"/>
        <v>0</v>
      </c>
      <c r="P27" s="165">
        <f t="shared" si="21"/>
        <v>37.524560000000001</v>
      </c>
      <c r="Q27" s="165">
        <f t="shared" si="12"/>
        <v>37.524560000000001</v>
      </c>
      <c r="R27" s="165">
        <f t="shared" si="22"/>
        <v>0</v>
      </c>
      <c r="S27" s="165">
        <f t="shared" si="23"/>
        <v>0</v>
      </c>
      <c r="T27" s="165">
        <f t="shared" si="24"/>
        <v>0</v>
      </c>
      <c r="U27" s="165">
        <f t="shared" si="25"/>
        <v>0</v>
      </c>
      <c r="V27" s="165">
        <f t="shared" si="26"/>
        <v>0</v>
      </c>
      <c r="W27" s="165">
        <f t="shared" si="13"/>
        <v>0</v>
      </c>
      <c r="X27" s="165">
        <f t="shared" si="27"/>
        <v>0</v>
      </c>
      <c r="Y27" s="165">
        <f t="shared" si="40"/>
        <v>0</v>
      </c>
      <c r="Z27" s="165">
        <f t="shared" si="29"/>
        <v>0</v>
      </c>
      <c r="AA27" s="165">
        <f t="shared" si="30"/>
        <v>0</v>
      </c>
      <c r="AB27" s="165">
        <f t="shared" si="42"/>
        <v>0</v>
      </c>
      <c r="AC27" s="165">
        <f t="shared" si="32"/>
        <v>0</v>
      </c>
      <c r="AD27" s="165">
        <f t="shared" si="33"/>
        <v>947.52455999999995</v>
      </c>
      <c r="AE27" s="128"/>
    </row>
    <row r="28" spans="1:35">
      <c r="A28" s="165">
        <f t="shared" si="34"/>
        <v>21</v>
      </c>
      <c r="B28" s="166">
        <f t="shared" si="14"/>
        <v>43608</v>
      </c>
      <c r="C28" s="165">
        <f t="shared" si="35"/>
        <v>5</v>
      </c>
      <c r="D28" s="167" t="str">
        <f t="shared" si="36"/>
        <v>no</v>
      </c>
      <c r="E28" s="168">
        <v>7</v>
      </c>
      <c r="F28" s="168">
        <f t="shared" si="37"/>
        <v>130</v>
      </c>
      <c r="G28" s="165">
        <f t="shared" si="38"/>
        <v>910</v>
      </c>
      <c r="H28" s="168"/>
      <c r="I28" s="165">
        <f t="shared" si="39"/>
        <v>910</v>
      </c>
      <c r="J28" s="165">
        <f t="shared" si="41"/>
        <v>3640</v>
      </c>
      <c r="K28" s="165">
        <f t="shared" si="18"/>
        <v>50.535440000000001</v>
      </c>
      <c r="L28" s="165">
        <f t="shared" si="10"/>
        <v>88.06</v>
      </c>
      <c r="M28" s="165">
        <f t="shared" si="19"/>
        <v>352.24</v>
      </c>
      <c r="N28" s="165">
        <f t="shared" si="20"/>
        <v>88.06</v>
      </c>
      <c r="O28" s="165">
        <f t="shared" si="11"/>
        <v>0</v>
      </c>
      <c r="P28" s="165">
        <f t="shared" si="21"/>
        <v>37.524560000000001</v>
      </c>
      <c r="Q28" s="165">
        <f t="shared" si="12"/>
        <v>37.524560000000001</v>
      </c>
      <c r="R28" s="165">
        <f t="shared" si="22"/>
        <v>0</v>
      </c>
      <c r="S28" s="165">
        <f t="shared" si="23"/>
        <v>0</v>
      </c>
      <c r="T28" s="165">
        <f t="shared" si="24"/>
        <v>0</v>
      </c>
      <c r="U28" s="165">
        <f t="shared" si="25"/>
        <v>0</v>
      </c>
      <c r="V28" s="165">
        <f t="shared" si="26"/>
        <v>0</v>
      </c>
      <c r="W28" s="165">
        <f t="shared" si="13"/>
        <v>0</v>
      </c>
      <c r="X28" s="165">
        <f t="shared" si="27"/>
        <v>0</v>
      </c>
      <c r="Y28" s="165">
        <f t="shared" si="40"/>
        <v>0</v>
      </c>
      <c r="Z28" s="165">
        <f t="shared" si="29"/>
        <v>0</v>
      </c>
      <c r="AA28" s="165">
        <f t="shared" si="30"/>
        <v>0</v>
      </c>
      <c r="AB28" s="165">
        <f t="shared" si="42"/>
        <v>0</v>
      </c>
      <c r="AC28" s="165">
        <f t="shared" si="32"/>
        <v>0</v>
      </c>
      <c r="AD28" s="165">
        <f t="shared" si="33"/>
        <v>947.52455999999995</v>
      </c>
      <c r="AE28" s="128"/>
    </row>
    <row r="29" spans="1:35">
      <c r="A29" s="165">
        <f t="shared" si="34"/>
        <v>22</v>
      </c>
      <c r="B29" s="166">
        <f t="shared" si="14"/>
        <v>43615</v>
      </c>
      <c r="C29" s="165">
        <f t="shared" si="35"/>
        <v>5</v>
      </c>
      <c r="D29" s="167" t="str">
        <f t="shared" si="36"/>
        <v>Si</v>
      </c>
      <c r="E29" s="168">
        <v>7</v>
      </c>
      <c r="F29" s="168">
        <f t="shared" si="37"/>
        <v>130</v>
      </c>
      <c r="G29" s="165">
        <f t="shared" si="38"/>
        <v>910</v>
      </c>
      <c r="H29" s="168"/>
      <c r="I29" s="165">
        <f t="shared" si="39"/>
        <v>910</v>
      </c>
      <c r="J29" s="165">
        <f t="shared" si="41"/>
        <v>4550</v>
      </c>
      <c r="K29" s="165">
        <f t="shared" si="18"/>
        <v>50.535440000000001</v>
      </c>
      <c r="L29" s="165">
        <f t="shared" si="10"/>
        <v>88.06</v>
      </c>
      <c r="M29" s="165">
        <f t="shared" si="19"/>
        <v>440.3</v>
      </c>
      <c r="N29" s="165">
        <f t="shared" si="20"/>
        <v>1.9900000000000091</v>
      </c>
      <c r="O29" s="165">
        <f t="shared" si="11"/>
        <v>0</v>
      </c>
      <c r="P29" s="165">
        <f t="shared" si="21"/>
        <v>0</v>
      </c>
      <c r="Q29" s="165">
        <f t="shared" si="12"/>
        <v>0</v>
      </c>
      <c r="R29" s="165">
        <f t="shared" si="22"/>
        <v>257.77280000000002</v>
      </c>
      <c r="S29" s="165">
        <f t="shared" si="23"/>
        <v>354.23</v>
      </c>
      <c r="T29" s="165">
        <f t="shared" si="24"/>
        <v>0</v>
      </c>
      <c r="U29" s="165">
        <f t="shared" si="25"/>
        <v>96.4572</v>
      </c>
      <c r="V29" s="165">
        <f t="shared" si="26"/>
        <v>0</v>
      </c>
      <c r="W29" s="165">
        <f t="shared" si="13"/>
        <v>0</v>
      </c>
      <c r="X29" s="165">
        <f t="shared" si="27"/>
        <v>0</v>
      </c>
      <c r="Y29" s="165">
        <f t="shared" si="40"/>
        <v>0</v>
      </c>
      <c r="Z29" s="165">
        <f t="shared" si="29"/>
        <v>0</v>
      </c>
      <c r="AA29" s="165">
        <f t="shared" si="30"/>
        <v>53.641040000000004</v>
      </c>
      <c r="AB29" s="165">
        <f t="shared" si="42"/>
        <v>0</v>
      </c>
      <c r="AC29" s="165">
        <f t="shared" si="32"/>
        <v>0</v>
      </c>
      <c r="AD29" s="165">
        <f t="shared" si="33"/>
        <v>856.35896000000002</v>
      </c>
      <c r="AE29" s="128"/>
    </row>
    <row r="30" spans="1:35">
      <c r="A30" s="165">
        <f t="shared" si="34"/>
        <v>23</v>
      </c>
      <c r="B30" s="166">
        <f t="shared" si="14"/>
        <v>43622</v>
      </c>
      <c r="C30" s="165">
        <f t="shared" si="35"/>
        <v>6</v>
      </c>
      <c r="D30" s="167" t="str">
        <f t="shared" si="36"/>
        <v>no</v>
      </c>
      <c r="E30" s="168">
        <v>7</v>
      </c>
      <c r="F30" s="168">
        <f t="shared" si="37"/>
        <v>130</v>
      </c>
      <c r="G30" s="165">
        <f t="shared" si="38"/>
        <v>910</v>
      </c>
      <c r="H30" s="168"/>
      <c r="I30" s="165">
        <f t="shared" si="39"/>
        <v>910</v>
      </c>
      <c r="J30" s="165">
        <f t="shared" si="41"/>
        <v>910</v>
      </c>
      <c r="K30" s="165">
        <f t="shared" si="18"/>
        <v>50.535440000000001</v>
      </c>
      <c r="L30" s="165">
        <f t="shared" si="10"/>
        <v>88.06</v>
      </c>
      <c r="M30" s="165">
        <f t="shared" si="19"/>
        <v>88.06</v>
      </c>
      <c r="N30" s="165">
        <f t="shared" si="20"/>
        <v>88.06</v>
      </c>
      <c r="O30" s="165">
        <f t="shared" si="11"/>
        <v>0</v>
      </c>
      <c r="P30" s="165">
        <f t="shared" si="21"/>
        <v>37.524560000000001</v>
      </c>
      <c r="Q30" s="165">
        <f t="shared" si="12"/>
        <v>37.524560000000001</v>
      </c>
      <c r="R30" s="165">
        <f t="shared" si="22"/>
        <v>0</v>
      </c>
      <c r="S30" s="165">
        <f t="shared" si="23"/>
        <v>0</v>
      </c>
      <c r="T30" s="165">
        <f t="shared" si="24"/>
        <v>0</v>
      </c>
      <c r="U30" s="165">
        <f t="shared" si="25"/>
        <v>0</v>
      </c>
      <c r="V30" s="165">
        <f t="shared" si="26"/>
        <v>0</v>
      </c>
      <c r="W30" s="165">
        <f t="shared" si="13"/>
        <v>0</v>
      </c>
      <c r="X30" s="165">
        <f t="shared" si="27"/>
        <v>0</v>
      </c>
      <c r="Y30" s="165">
        <f t="shared" si="40"/>
        <v>0</v>
      </c>
      <c r="Z30" s="165">
        <f t="shared" si="29"/>
        <v>0</v>
      </c>
      <c r="AA30" s="165">
        <f t="shared" si="30"/>
        <v>0</v>
      </c>
      <c r="AB30" s="165">
        <f t="shared" si="42"/>
        <v>0</v>
      </c>
      <c r="AC30" s="165">
        <f t="shared" si="32"/>
        <v>0</v>
      </c>
      <c r="AD30" s="165">
        <f t="shared" si="33"/>
        <v>947.52455999999995</v>
      </c>
      <c r="AE30" s="128"/>
    </row>
    <row r="31" spans="1:35">
      <c r="A31" s="165">
        <f t="shared" si="34"/>
        <v>24</v>
      </c>
      <c r="B31" s="166">
        <f t="shared" si="14"/>
        <v>43629</v>
      </c>
      <c r="C31" s="165">
        <f t="shared" si="35"/>
        <v>6</v>
      </c>
      <c r="D31" s="167" t="str">
        <f t="shared" si="36"/>
        <v>no</v>
      </c>
      <c r="E31" s="168">
        <v>7</v>
      </c>
      <c r="F31" s="168">
        <f t="shared" si="37"/>
        <v>130</v>
      </c>
      <c r="G31" s="165">
        <f t="shared" si="38"/>
        <v>910</v>
      </c>
      <c r="H31" s="168"/>
      <c r="I31" s="165">
        <f t="shared" si="39"/>
        <v>910</v>
      </c>
      <c r="J31" s="165">
        <f t="shared" si="41"/>
        <v>1820</v>
      </c>
      <c r="K31" s="165">
        <f t="shared" si="18"/>
        <v>50.535440000000001</v>
      </c>
      <c r="L31" s="165">
        <f t="shared" si="10"/>
        <v>88.06</v>
      </c>
      <c r="M31" s="165">
        <f t="shared" si="19"/>
        <v>176.12</v>
      </c>
      <c r="N31" s="165">
        <f t="shared" si="20"/>
        <v>88.06</v>
      </c>
      <c r="O31" s="165">
        <f t="shared" si="11"/>
        <v>0</v>
      </c>
      <c r="P31" s="165">
        <f t="shared" si="21"/>
        <v>37.524560000000001</v>
      </c>
      <c r="Q31" s="165">
        <f t="shared" si="12"/>
        <v>37.524560000000001</v>
      </c>
      <c r="R31" s="165">
        <f t="shared" si="22"/>
        <v>0</v>
      </c>
      <c r="S31" s="165">
        <f t="shared" si="23"/>
        <v>0</v>
      </c>
      <c r="T31" s="165">
        <f t="shared" si="24"/>
        <v>0</v>
      </c>
      <c r="U31" s="165">
        <f t="shared" si="25"/>
        <v>0</v>
      </c>
      <c r="V31" s="165">
        <f t="shared" si="26"/>
        <v>0</v>
      </c>
      <c r="W31" s="165">
        <f t="shared" si="13"/>
        <v>0</v>
      </c>
      <c r="X31" s="165">
        <f t="shared" si="27"/>
        <v>0</v>
      </c>
      <c r="Y31" s="165">
        <f t="shared" si="40"/>
        <v>0</v>
      </c>
      <c r="Z31" s="165">
        <f t="shared" si="29"/>
        <v>0</v>
      </c>
      <c r="AA31" s="165">
        <f t="shared" si="30"/>
        <v>0</v>
      </c>
      <c r="AB31" s="165">
        <f t="shared" si="42"/>
        <v>0</v>
      </c>
      <c r="AC31" s="165">
        <f t="shared" si="32"/>
        <v>0</v>
      </c>
      <c r="AD31" s="165">
        <f t="shared" si="33"/>
        <v>947.52455999999995</v>
      </c>
      <c r="AE31" s="128"/>
    </row>
    <row r="32" spans="1:35">
      <c r="A32" s="165">
        <f t="shared" si="34"/>
        <v>25</v>
      </c>
      <c r="B32" s="166">
        <f t="shared" si="14"/>
        <v>43636</v>
      </c>
      <c r="C32" s="165">
        <f t="shared" si="35"/>
        <v>6</v>
      </c>
      <c r="D32" s="167" t="str">
        <f t="shared" si="36"/>
        <v>no</v>
      </c>
      <c r="E32" s="168">
        <v>7</v>
      </c>
      <c r="F32" s="168">
        <f t="shared" si="37"/>
        <v>130</v>
      </c>
      <c r="G32" s="165">
        <f t="shared" si="38"/>
        <v>910</v>
      </c>
      <c r="H32" s="168"/>
      <c r="I32" s="165">
        <f t="shared" si="39"/>
        <v>910</v>
      </c>
      <c r="J32" s="165">
        <f t="shared" si="41"/>
        <v>2730</v>
      </c>
      <c r="K32" s="165">
        <f t="shared" si="18"/>
        <v>50.535440000000001</v>
      </c>
      <c r="L32" s="165">
        <f t="shared" si="10"/>
        <v>88.06</v>
      </c>
      <c r="M32" s="165">
        <f t="shared" si="19"/>
        <v>264.18</v>
      </c>
      <c r="N32" s="165">
        <f t="shared" si="20"/>
        <v>88.06</v>
      </c>
      <c r="O32" s="165">
        <f t="shared" si="11"/>
        <v>0</v>
      </c>
      <c r="P32" s="165">
        <f t="shared" si="21"/>
        <v>37.524560000000001</v>
      </c>
      <c r="Q32" s="165">
        <f t="shared" si="12"/>
        <v>37.524560000000001</v>
      </c>
      <c r="R32" s="165">
        <f t="shared" si="22"/>
        <v>0</v>
      </c>
      <c r="S32" s="165">
        <f t="shared" si="23"/>
        <v>0</v>
      </c>
      <c r="T32" s="165">
        <f t="shared" si="24"/>
        <v>0</v>
      </c>
      <c r="U32" s="165">
        <f t="shared" si="25"/>
        <v>0</v>
      </c>
      <c r="V32" s="165">
        <f t="shared" si="26"/>
        <v>0</v>
      </c>
      <c r="W32" s="165">
        <f t="shared" si="13"/>
        <v>0</v>
      </c>
      <c r="X32" s="165">
        <f t="shared" si="27"/>
        <v>0</v>
      </c>
      <c r="Y32" s="165">
        <f t="shared" si="40"/>
        <v>0</v>
      </c>
      <c r="Z32" s="165">
        <f t="shared" si="29"/>
        <v>0</v>
      </c>
      <c r="AA32" s="165">
        <f t="shared" si="30"/>
        <v>0</v>
      </c>
      <c r="AB32" s="165">
        <f t="shared" si="42"/>
        <v>0</v>
      </c>
      <c r="AC32" s="165">
        <f t="shared" si="32"/>
        <v>0</v>
      </c>
      <c r="AD32" s="165">
        <f t="shared" si="33"/>
        <v>947.52455999999995</v>
      </c>
      <c r="AE32" s="128"/>
    </row>
    <row r="33" spans="1:31">
      <c r="A33" s="165">
        <f t="shared" si="34"/>
        <v>26</v>
      </c>
      <c r="B33" s="166">
        <f t="shared" si="14"/>
        <v>43643</v>
      </c>
      <c r="C33" s="165">
        <f t="shared" si="35"/>
        <v>6</v>
      </c>
      <c r="D33" s="167" t="str">
        <f t="shared" si="36"/>
        <v>Si</v>
      </c>
      <c r="E33" s="168">
        <v>7</v>
      </c>
      <c r="F33" s="168">
        <f t="shared" si="37"/>
        <v>130</v>
      </c>
      <c r="G33" s="165">
        <f t="shared" si="38"/>
        <v>910</v>
      </c>
      <c r="H33" s="168"/>
      <c r="I33" s="165">
        <f t="shared" si="39"/>
        <v>910</v>
      </c>
      <c r="J33" s="165">
        <f t="shared" si="41"/>
        <v>3640</v>
      </c>
      <c r="K33" s="165">
        <f t="shared" si="18"/>
        <v>50.535440000000001</v>
      </c>
      <c r="L33" s="165">
        <f t="shared" si="10"/>
        <v>88.06</v>
      </c>
      <c r="M33" s="165">
        <f t="shared" si="19"/>
        <v>352.24</v>
      </c>
      <c r="N33" s="165">
        <f t="shared" si="20"/>
        <v>88.06</v>
      </c>
      <c r="O33" s="165">
        <f t="shared" si="11"/>
        <v>0</v>
      </c>
      <c r="P33" s="165">
        <f t="shared" si="21"/>
        <v>37.524560000000001</v>
      </c>
      <c r="Q33" s="165">
        <f t="shared" si="12"/>
        <v>37.524560000000001</v>
      </c>
      <c r="R33" s="165">
        <f t="shared" si="22"/>
        <v>199.53279999999998</v>
      </c>
      <c r="S33" s="165">
        <f t="shared" si="23"/>
        <v>382.46</v>
      </c>
      <c r="T33" s="165">
        <f t="shared" si="24"/>
        <v>0</v>
      </c>
      <c r="U33" s="165">
        <f t="shared" si="25"/>
        <v>182.9272</v>
      </c>
      <c r="V33" s="165">
        <f t="shared" si="26"/>
        <v>0</v>
      </c>
      <c r="W33" s="165">
        <f t="shared" si="13"/>
        <v>30.21999999999997</v>
      </c>
      <c r="X33" s="165">
        <f t="shared" si="27"/>
        <v>0</v>
      </c>
      <c r="Y33" s="165">
        <f t="shared" si="40"/>
        <v>0</v>
      </c>
      <c r="Z33" s="165">
        <f t="shared" si="29"/>
        <v>0</v>
      </c>
      <c r="AA33" s="165">
        <f t="shared" si="30"/>
        <v>0</v>
      </c>
      <c r="AB33" s="165">
        <f t="shared" si="42"/>
        <v>0</v>
      </c>
      <c r="AC33" s="165">
        <f t="shared" si="32"/>
        <v>32.828959999999995</v>
      </c>
      <c r="AD33" s="165">
        <f t="shared" si="33"/>
        <v>980.35351999999989</v>
      </c>
      <c r="AE33" s="128"/>
    </row>
    <row r="34" spans="1:31">
      <c r="A34" s="165">
        <f t="shared" si="34"/>
        <v>27</v>
      </c>
      <c r="B34" s="166">
        <f t="shared" si="14"/>
        <v>43650</v>
      </c>
      <c r="C34" s="165">
        <f t="shared" si="35"/>
        <v>7</v>
      </c>
      <c r="D34" s="167" t="str">
        <f t="shared" si="36"/>
        <v>no</v>
      </c>
      <c r="E34" s="168">
        <v>7</v>
      </c>
      <c r="F34" s="168">
        <f t="shared" si="37"/>
        <v>130</v>
      </c>
      <c r="G34" s="165">
        <f t="shared" si="38"/>
        <v>910</v>
      </c>
      <c r="H34" s="168"/>
      <c r="I34" s="165">
        <f t="shared" si="39"/>
        <v>910</v>
      </c>
      <c r="J34" s="165">
        <f t="shared" si="41"/>
        <v>910</v>
      </c>
      <c r="K34" s="165">
        <f t="shared" si="18"/>
        <v>50.535440000000001</v>
      </c>
      <c r="L34" s="165">
        <f t="shared" si="10"/>
        <v>88.06</v>
      </c>
      <c r="M34" s="165">
        <f t="shared" si="19"/>
        <v>88.06</v>
      </c>
      <c r="N34" s="165">
        <f t="shared" si="20"/>
        <v>88.06</v>
      </c>
      <c r="O34" s="165">
        <f t="shared" si="11"/>
        <v>0</v>
      </c>
      <c r="P34" s="165">
        <f t="shared" si="21"/>
        <v>37.524560000000001</v>
      </c>
      <c r="Q34" s="165">
        <f t="shared" si="12"/>
        <v>37.524560000000001</v>
      </c>
      <c r="R34" s="165">
        <f t="shared" si="22"/>
        <v>0</v>
      </c>
      <c r="S34" s="165">
        <f t="shared" si="23"/>
        <v>0</v>
      </c>
      <c r="T34" s="165">
        <f t="shared" si="24"/>
        <v>0</v>
      </c>
      <c r="U34" s="165">
        <f t="shared" si="25"/>
        <v>0</v>
      </c>
      <c r="V34" s="165">
        <f t="shared" si="26"/>
        <v>0</v>
      </c>
      <c r="W34" s="165">
        <f t="shared" si="13"/>
        <v>0</v>
      </c>
      <c r="X34" s="165">
        <f t="shared" si="27"/>
        <v>0</v>
      </c>
      <c r="Y34" s="165">
        <f t="shared" si="40"/>
        <v>0</v>
      </c>
      <c r="Z34" s="165">
        <f t="shared" si="29"/>
        <v>0</v>
      </c>
      <c r="AA34" s="165">
        <f t="shared" si="30"/>
        <v>0</v>
      </c>
      <c r="AB34" s="165">
        <f t="shared" si="42"/>
        <v>0</v>
      </c>
      <c r="AC34" s="165">
        <f t="shared" si="32"/>
        <v>0</v>
      </c>
      <c r="AD34" s="165">
        <f t="shared" si="33"/>
        <v>947.52455999999995</v>
      </c>
      <c r="AE34" s="128"/>
    </row>
    <row r="35" spans="1:31">
      <c r="A35" s="165">
        <f t="shared" si="34"/>
        <v>28</v>
      </c>
      <c r="B35" s="166">
        <f t="shared" si="14"/>
        <v>43657</v>
      </c>
      <c r="C35" s="165">
        <f t="shared" si="35"/>
        <v>7</v>
      </c>
      <c r="D35" s="167" t="str">
        <f t="shared" si="36"/>
        <v>no</v>
      </c>
      <c r="E35" s="168">
        <v>7</v>
      </c>
      <c r="F35" s="168">
        <f t="shared" si="37"/>
        <v>130</v>
      </c>
      <c r="G35" s="165">
        <f t="shared" si="38"/>
        <v>910</v>
      </c>
      <c r="H35" s="168"/>
      <c r="I35" s="165">
        <f t="shared" si="39"/>
        <v>910</v>
      </c>
      <c r="J35" s="165">
        <f t="shared" si="41"/>
        <v>1820</v>
      </c>
      <c r="K35" s="165">
        <f t="shared" si="18"/>
        <v>50.535440000000001</v>
      </c>
      <c r="L35" s="165">
        <f t="shared" si="10"/>
        <v>88.06</v>
      </c>
      <c r="M35" s="165">
        <f t="shared" si="19"/>
        <v>176.12</v>
      </c>
      <c r="N35" s="165">
        <f t="shared" si="20"/>
        <v>88.06</v>
      </c>
      <c r="O35" s="165">
        <f t="shared" si="11"/>
        <v>0</v>
      </c>
      <c r="P35" s="165">
        <f t="shared" si="21"/>
        <v>37.524560000000001</v>
      </c>
      <c r="Q35" s="165">
        <f t="shared" si="12"/>
        <v>37.524560000000001</v>
      </c>
      <c r="R35" s="165">
        <f t="shared" si="22"/>
        <v>0</v>
      </c>
      <c r="S35" s="165">
        <f t="shared" si="23"/>
        <v>0</v>
      </c>
      <c r="T35" s="165">
        <f t="shared" si="24"/>
        <v>0</v>
      </c>
      <c r="U35" s="165">
        <f t="shared" si="25"/>
        <v>0</v>
      </c>
      <c r="V35" s="165">
        <f t="shared" si="26"/>
        <v>0</v>
      </c>
      <c r="W35" s="165">
        <f t="shared" si="13"/>
        <v>0</v>
      </c>
      <c r="X35" s="165">
        <f t="shared" si="27"/>
        <v>0</v>
      </c>
      <c r="Y35" s="165">
        <f t="shared" si="40"/>
        <v>0</v>
      </c>
      <c r="Z35" s="165">
        <f t="shared" si="29"/>
        <v>0</v>
      </c>
      <c r="AA35" s="165">
        <f t="shared" si="30"/>
        <v>0</v>
      </c>
      <c r="AB35" s="165">
        <f t="shared" si="42"/>
        <v>0</v>
      </c>
      <c r="AC35" s="165">
        <f t="shared" si="32"/>
        <v>0</v>
      </c>
      <c r="AD35" s="165">
        <f t="shared" si="33"/>
        <v>947.52455999999995</v>
      </c>
      <c r="AE35" s="128"/>
    </row>
    <row r="36" spans="1:31">
      <c r="A36" s="165">
        <f t="shared" si="34"/>
        <v>29</v>
      </c>
      <c r="B36" s="166">
        <f t="shared" si="14"/>
        <v>43664</v>
      </c>
      <c r="C36" s="165">
        <f t="shared" si="35"/>
        <v>7</v>
      </c>
      <c r="D36" s="167" t="str">
        <f t="shared" si="36"/>
        <v>no</v>
      </c>
      <c r="E36" s="168">
        <v>7</v>
      </c>
      <c r="F36" s="168">
        <f t="shared" si="37"/>
        <v>130</v>
      </c>
      <c r="G36" s="165">
        <f t="shared" si="38"/>
        <v>910</v>
      </c>
      <c r="H36" s="168"/>
      <c r="I36" s="165">
        <f t="shared" si="39"/>
        <v>910</v>
      </c>
      <c r="J36" s="165">
        <f t="shared" si="41"/>
        <v>2730</v>
      </c>
      <c r="K36" s="165">
        <f t="shared" si="18"/>
        <v>50.535440000000001</v>
      </c>
      <c r="L36" s="165">
        <f t="shared" si="10"/>
        <v>88.06</v>
      </c>
      <c r="M36" s="165">
        <f t="shared" si="19"/>
        <v>264.18</v>
      </c>
      <c r="N36" s="165">
        <f t="shared" si="20"/>
        <v>88.06</v>
      </c>
      <c r="O36" s="165">
        <f t="shared" si="11"/>
        <v>0</v>
      </c>
      <c r="P36" s="165">
        <f t="shared" si="21"/>
        <v>37.524560000000001</v>
      </c>
      <c r="Q36" s="165">
        <f t="shared" si="12"/>
        <v>37.524560000000001</v>
      </c>
      <c r="R36" s="165">
        <f t="shared" si="22"/>
        <v>0</v>
      </c>
      <c r="S36" s="165">
        <f t="shared" si="23"/>
        <v>0</v>
      </c>
      <c r="T36" s="165">
        <f t="shared" si="24"/>
        <v>0</v>
      </c>
      <c r="U36" s="165">
        <f t="shared" si="25"/>
        <v>0</v>
      </c>
      <c r="V36" s="165">
        <f t="shared" si="26"/>
        <v>0</v>
      </c>
      <c r="W36" s="165">
        <f t="shared" si="13"/>
        <v>0</v>
      </c>
      <c r="X36" s="165">
        <f t="shared" si="27"/>
        <v>0</v>
      </c>
      <c r="Y36" s="165">
        <f t="shared" si="40"/>
        <v>0</v>
      </c>
      <c r="Z36" s="165">
        <f t="shared" si="29"/>
        <v>0</v>
      </c>
      <c r="AA36" s="165">
        <f t="shared" si="30"/>
        <v>0</v>
      </c>
      <c r="AB36" s="165">
        <f t="shared" si="42"/>
        <v>0</v>
      </c>
      <c r="AC36" s="165">
        <f t="shared" si="32"/>
        <v>0</v>
      </c>
      <c r="AD36" s="165">
        <f t="shared" si="33"/>
        <v>947.52455999999995</v>
      </c>
      <c r="AE36" s="128"/>
    </row>
    <row r="37" spans="1:31">
      <c r="A37" s="165">
        <f t="shared" si="34"/>
        <v>30</v>
      </c>
      <c r="B37" s="166">
        <f t="shared" si="14"/>
        <v>43671</v>
      </c>
      <c r="C37" s="165">
        <f t="shared" si="35"/>
        <v>7</v>
      </c>
      <c r="D37" s="167" t="str">
        <f t="shared" si="36"/>
        <v>Si</v>
      </c>
      <c r="E37" s="168">
        <v>7</v>
      </c>
      <c r="F37" s="168">
        <f t="shared" si="37"/>
        <v>130</v>
      </c>
      <c r="G37" s="165">
        <f t="shared" si="38"/>
        <v>910</v>
      </c>
      <c r="H37" s="168"/>
      <c r="I37" s="165">
        <f t="shared" si="39"/>
        <v>910</v>
      </c>
      <c r="J37" s="165">
        <f t="shared" si="41"/>
        <v>3640</v>
      </c>
      <c r="K37" s="165">
        <f t="shared" si="18"/>
        <v>50.535440000000001</v>
      </c>
      <c r="L37" s="165">
        <f t="shared" si="10"/>
        <v>88.06</v>
      </c>
      <c r="M37" s="165">
        <f t="shared" si="19"/>
        <v>352.24</v>
      </c>
      <c r="N37" s="165">
        <f t="shared" si="20"/>
        <v>88.06</v>
      </c>
      <c r="O37" s="165">
        <f t="shared" si="11"/>
        <v>0</v>
      </c>
      <c r="P37" s="165">
        <f t="shared" si="21"/>
        <v>37.524560000000001</v>
      </c>
      <c r="Q37" s="165">
        <f t="shared" si="12"/>
        <v>37.524560000000001</v>
      </c>
      <c r="R37" s="165">
        <f t="shared" si="22"/>
        <v>199.53279999999998</v>
      </c>
      <c r="S37" s="165">
        <f t="shared" si="23"/>
        <v>382.46</v>
      </c>
      <c r="T37" s="165">
        <f t="shared" si="24"/>
        <v>0</v>
      </c>
      <c r="U37" s="165">
        <f t="shared" si="25"/>
        <v>182.9272</v>
      </c>
      <c r="V37" s="165">
        <f t="shared" si="26"/>
        <v>0</v>
      </c>
      <c r="W37" s="165">
        <f t="shared" si="13"/>
        <v>30.21999999999997</v>
      </c>
      <c r="X37" s="165">
        <f t="shared" si="27"/>
        <v>0</v>
      </c>
      <c r="Y37" s="165">
        <f t="shared" si="40"/>
        <v>0</v>
      </c>
      <c r="Z37" s="165">
        <f t="shared" si="29"/>
        <v>0</v>
      </c>
      <c r="AA37" s="165">
        <f t="shared" si="30"/>
        <v>0</v>
      </c>
      <c r="AB37" s="165">
        <f t="shared" si="42"/>
        <v>0</v>
      </c>
      <c r="AC37" s="165">
        <f t="shared" si="32"/>
        <v>32.828959999999995</v>
      </c>
      <c r="AD37" s="165">
        <f t="shared" si="33"/>
        <v>980.35351999999989</v>
      </c>
      <c r="AE37" s="128"/>
    </row>
    <row r="38" spans="1:31">
      <c r="A38" s="165">
        <f t="shared" si="34"/>
        <v>31</v>
      </c>
      <c r="B38" s="166">
        <f t="shared" si="14"/>
        <v>43678</v>
      </c>
      <c r="C38" s="165">
        <f t="shared" si="35"/>
        <v>8</v>
      </c>
      <c r="D38" s="167" t="str">
        <f t="shared" si="36"/>
        <v>no</v>
      </c>
      <c r="E38" s="168">
        <v>7</v>
      </c>
      <c r="F38" s="168">
        <f t="shared" si="37"/>
        <v>130</v>
      </c>
      <c r="G38" s="165">
        <f t="shared" si="38"/>
        <v>910</v>
      </c>
      <c r="H38" s="168"/>
      <c r="I38" s="165">
        <f t="shared" si="39"/>
        <v>910</v>
      </c>
      <c r="J38" s="165">
        <f t="shared" si="41"/>
        <v>910</v>
      </c>
      <c r="K38" s="165">
        <f t="shared" si="18"/>
        <v>50.535440000000001</v>
      </c>
      <c r="L38" s="165">
        <f t="shared" si="10"/>
        <v>88.06</v>
      </c>
      <c r="M38" s="165">
        <f t="shared" si="19"/>
        <v>88.06</v>
      </c>
      <c r="N38" s="165">
        <f t="shared" si="20"/>
        <v>88.06</v>
      </c>
      <c r="O38" s="165">
        <f t="shared" si="11"/>
        <v>0</v>
      </c>
      <c r="P38" s="165">
        <f t="shared" si="21"/>
        <v>37.524560000000001</v>
      </c>
      <c r="Q38" s="165">
        <f t="shared" si="12"/>
        <v>37.524560000000001</v>
      </c>
      <c r="R38" s="165">
        <f t="shared" si="22"/>
        <v>0</v>
      </c>
      <c r="S38" s="165">
        <f t="shared" si="23"/>
        <v>0</v>
      </c>
      <c r="T38" s="165">
        <f t="shared" si="24"/>
        <v>0</v>
      </c>
      <c r="U38" s="165">
        <f t="shared" si="25"/>
        <v>0</v>
      </c>
      <c r="V38" s="165">
        <f t="shared" si="26"/>
        <v>0</v>
      </c>
      <c r="W38" s="165">
        <f t="shared" si="13"/>
        <v>0</v>
      </c>
      <c r="X38" s="165">
        <f t="shared" si="27"/>
        <v>0</v>
      </c>
      <c r="Y38" s="165">
        <f t="shared" si="40"/>
        <v>0</v>
      </c>
      <c r="Z38" s="165">
        <f t="shared" si="29"/>
        <v>0</v>
      </c>
      <c r="AA38" s="165">
        <f t="shared" si="30"/>
        <v>0</v>
      </c>
      <c r="AB38" s="165">
        <f t="shared" si="42"/>
        <v>0</v>
      </c>
      <c r="AC38" s="165">
        <f t="shared" si="32"/>
        <v>0</v>
      </c>
      <c r="AD38" s="165">
        <f t="shared" si="33"/>
        <v>947.52455999999995</v>
      </c>
      <c r="AE38" s="128"/>
    </row>
    <row r="39" spans="1:31">
      <c r="A39" s="165">
        <f t="shared" si="34"/>
        <v>32</v>
      </c>
      <c r="B39" s="166">
        <f t="shared" si="14"/>
        <v>43685</v>
      </c>
      <c r="C39" s="165">
        <f t="shared" si="35"/>
        <v>8</v>
      </c>
      <c r="D39" s="167" t="str">
        <f t="shared" si="36"/>
        <v>no</v>
      </c>
      <c r="E39" s="168">
        <v>7</v>
      </c>
      <c r="F39" s="168">
        <f t="shared" si="37"/>
        <v>130</v>
      </c>
      <c r="G39" s="165">
        <f t="shared" si="38"/>
        <v>910</v>
      </c>
      <c r="H39" s="168"/>
      <c r="I39" s="165">
        <f t="shared" si="39"/>
        <v>910</v>
      </c>
      <c r="J39" s="165">
        <f t="shared" si="41"/>
        <v>1820</v>
      </c>
      <c r="K39" s="165">
        <f t="shared" si="18"/>
        <v>50.535440000000001</v>
      </c>
      <c r="L39" s="165">
        <f t="shared" si="10"/>
        <v>88.06</v>
      </c>
      <c r="M39" s="165">
        <f t="shared" si="19"/>
        <v>176.12</v>
      </c>
      <c r="N39" s="165">
        <f t="shared" si="20"/>
        <v>88.06</v>
      </c>
      <c r="O39" s="165">
        <f t="shared" si="11"/>
        <v>0</v>
      </c>
      <c r="P39" s="165">
        <f t="shared" si="21"/>
        <v>37.524560000000001</v>
      </c>
      <c r="Q39" s="165">
        <f t="shared" si="12"/>
        <v>37.524560000000001</v>
      </c>
      <c r="R39" s="165">
        <f t="shared" si="22"/>
        <v>0</v>
      </c>
      <c r="S39" s="165">
        <f t="shared" si="23"/>
        <v>0</v>
      </c>
      <c r="T39" s="165">
        <f t="shared" si="24"/>
        <v>0</v>
      </c>
      <c r="U39" s="165">
        <f t="shared" si="25"/>
        <v>0</v>
      </c>
      <c r="V39" s="165">
        <f t="shared" si="26"/>
        <v>0</v>
      </c>
      <c r="W39" s="165">
        <f t="shared" si="13"/>
        <v>0</v>
      </c>
      <c r="X39" s="165">
        <f t="shared" si="27"/>
        <v>0</v>
      </c>
      <c r="Y39" s="165">
        <f t="shared" si="40"/>
        <v>0</v>
      </c>
      <c r="Z39" s="165">
        <f t="shared" si="29"/>
        <v>0</v>
      </c>
      <c r="AA39" s="165">
        <f t="shared" si="30"/>
        <v>0</v>
      </c>
      <c r="AB39" s="165">
        <f t="shared" si="42"/>
        <v>0</v>
      </c>
      <c r="AC39" s="165">
        <f t="shared" si="32"/>
        <v>0</v>
      </c>
      <c r="AD39" s="165">
        <f t="shared" si="33"/>
        <v>947.52455999999995</v>
      </c>
      <c r="AE39" s="128"/>
    </row>
    <row r="40" spans="1:31">
      <c r="A40" s="165">
        <f t="shared" si="34"/>
        <v>33</v>
      </c>
      <c r="B40" s="166">
        <f t="shared" si="14"/>
        <v>43692</v>
      </c>
      <c r="C40" s="165">
        <f t="shared" si="35"/>
        <v>8</v>
      </c>
      <c r="D40" s="167" t="str">
        <f t="shared" si="36"/>
        <v>no</v>
      </c>
      <c r="E40" s="168">
        <v>7</v>
      </c>
      <c r="F40" s="168">
        <f t="shared" si="37"/>
        <v>130</v>
      </c>
      <c r="G40" s="165">
        <f t="shared" si="38"/>
        <v>910</v>
      </c>
      <c r="H40" s="168"/>
      <c r="I40" s="165">
        <f t="shared" si="39"/>
        <v>910</v>
      </c>
      <c r="J40" s="165">
        <f t="shared" si="41"/>
        <v>2730</v>
      </c>
      <c r="K40" s="165">
        <f t="shared" ref="K40:K60" si="43">((I40-VLOOKUP(I40,TablaPer,1))*VLOOKUP(I40,TablaPer,3))+VLOOKUP(I40,TablaPer,2)</f>
        <v>50.535440000000001</v>
      </c>
      <c r="L40" s="165">
        <f t="shared" ref="L40:L60" si="44">VLOOKUP(I40,SubPer,2)</f>
        <v>88.06</v>
      </c>
      <c r="M40" s="165">
        <f t="shared" si="19"/>
        <v>264.18</v>
      </c>
      <c r="N40" s="165">
        <f t="shared" ref="N40:N59" si="45">IF(D40="Si", IF(M39&gt;VLOOKUP(J40,SubMes,2),0,MIN(VLOOKUP(I40,SubPer,2),VLOOKUP(J40,SubMes,2)-M39)),VLOOKUP(I40,SubPer,2))</f>
        <v>88.06</v>
      </c>
      <c r="O40" s="165">
        <f t="shared" ref="O40:O59" si="46">IF(I40&lt;=(SalarioMinimo*E40),0,MAX(0,K40-N40))</f>
        <v>0</v>
      </c>
      <c r="P40" s="165">
        <f t="shared" si="21"/>
        <v>37.524560000000001</v>
      </c>
      <c r="Q40" s="165">
        <f t="shared" ref="Q40:Q60" si="47">IF(D40="Si", MIN(MAX(0,P40),MAX(0,(U40-(SUMIF(MesPago,C40,SubsidioEntregar)-P40)))),P40)</f>
        <v>37.524560000000001</v>
      </c>
      <c r="R40" s="165">
        <f t="shared" ref="R40:R60" si="48">IF(D40="Si",((J40-VLOOKUP(J40,TablaMes,1))*VLOOKUP(J40,TablaMes,3))+VLOOKUP(J40,TablaMes,2),0)</f>
        <v>0</v>
      </c>
      <c r="S40" s="165">
        <f t="shared" ref="S40:S60" si="49">IF(D40="Si",VLOOKUP(J40,SubMes,2),0)</f>
        <v>0</v>
      </c>
      <c r="T40" s="165">
        <f t="shared" ref="T40:T60" si="50">IF(J40&lt;=(30.4*SalarioMinimo),0,MAX(R40-S40,0))</f>
        <v>0</v>
      </c>
      <c r="U40" s="165">
        <f t="shared" ref="U40:U60" si="51">MAX(0,S40-R40)</f>
        <v>0</v>
      </c>
      <c r="V40" s="165">
        <f t="shared" ref="V40:V60" si="52">IF(D40="Si",MAX(0,SUMIF(MesPago,C40,SubsidioCausadoDef)-S40),0)</f>
        <v>0</v>
      </c>
      <c r="W40" s="165">
        <f t="shared" ref="W40:W60" si="53">IF(D40="Si",(MIN(0,SUMIF(MesPago,C40,SubsidioCausadoDef)-S40)*$D$3)*-1,0)</f>
        <v>0</v>
      </c>
      <c r="X40" s="165">
        <f t="shared" ref="X40:X60" si="54">IF(D40="Si",MAX(0,V40-AA40),0)</f>
        <v>0</v>
      </c>
      <c r="Y40" s="165">
        <f t="shared" si="40"/>
        <v>0</v>
      </c>
      <c r="Z40" s="165">
        <f t="shared" ref="Z40:Z60" si="55">IF(D40="si",MAX(0,SUMIF(MesPago,C40,ISRRetener)+X40-T40)*$D$4,0)</f>
        <v>0</v>
      </c>
      <c r="AA40" s="165">
        <f t="shared" ref="AA40:AA60" si="56">IF(D40="Si",MAX(0,SUMIF(MesPago,C40,SubsidioEntregarDef)-U40),0)</f>
        <v>0</v>
      </c>
      <c r="AB40" s="165">
        <f t="shared" si="42"/>
        <v>0</v>
      </c>
      <c r="AC40" s="165">
        <f t="shared" ref="AC40:AC60" si="57">IF(D40="Si",(MIN(0,SUMIF(MesPago,C40,SubsidioEntregarDef)-U40)*$D$5)*-1,0)</f>
        <v>0</v>
      </c>
      <c r="AD40" s="165">
        <f t="shared" si="33"/>
        <v>947.52455999999995</v>
      </c>
      <c r="AE40" s="128"/>
    </row>
    <row r="41" spans="1:31">
      <c r="A41" s="165">
        <f t="shared" si="34"/>
        <v>34</v>
      </c>
      <c r="B41" s="166">
        <f t="shared" si="14"/>
        <v>43699</v>
      </c>
      <c r="C41" s="165">
        <f t="shared" si="35"/>
        <v>8</v>
      </c>
      <c r="D41" s="167" t="str">
        <f t="shared" si="36"/>
        <v>no</v>
      </c>
      <c r="E41" s="168">
        <v>7</v>
      </c>
      <c r="F41" s="168">
        <f t="shared" si="37"/>
        <v>130</v>
      </c>
      <c r="G41" s="165">
        <f t="shared" si="38"/>
        <v>910</v>
      </c>
      <c r="H41" s="168"/>
      <c r="I41" s="165">
        <f t="shared" si="39"/>
        <v>910</v>
      </c>
      <c r="J41" s="165">
        <f t="shared" si="41"/>
        <v>3640</v>
      </c>
      <c r="K41" s="165">
        <f t="shared" si="43"/>
        <v>50.535440000000001</v>
      </c>
      <c r="L41" s="165">
        <f t="shared" si="44"/>
        <v>88.06</v>
      </c>
      <c r="M41" s="165">
        <f t="shared" si="19"/>
        <v>352.24</v>
      </c>
      <c r="N41" s="165">
        <f t="shared" si="45"/>
        <v>88.06</v>
      </c>
      <c r="O41" s="165">
        <f t="shared" si="46"/>
        <v>0</v>
      </c>
      <c r="P41" s="165">
        <f t="shared" si="21"/>
        <v>37.524560000000001</v>
      </c>
      <c r="Q41" s="165">
        <f t="shared" si="47"/>
        <v>37.524560000000001</v>
      </c>
      <c r="R41" s="165">
        <f t="shared" si="48"/>
        <v>0</v>
      </c>
      <c r="S41" s="165">
        <f t="shared" si="49"/>
        <v>0</v>
      </c>
      <c r="T41" s="165">
        <f t="shared" si="50"/>
        <v>0</v>
      </c>
      <c r="U41" s="165">
        <f t="shared" si="51"/>
        <v>0</v>
      </c>
      <c r="V41" s="165">
        <f t="shared" si="52"/>
        <v>0</v>
      </c>
      <c r="W41" s="165">
        <f t="shared" si="53"/>
        <v>0</v>
      </c>
      <c r="X41" s="165">
        <f t="shared" si="54"/>
        <v>0</v>
      </c>
      <c r="Y41" s="165">
        <f t="shared" si="40"/>
        <v>0</v>
      </c>
      <c r="Z41" s="165">
        <f t="shared" si="55"/>
        <v>0</v>
      </c>
      <c r="AA41" s="165">
        <f t="shared" si="56"/>
        <v>0</v>
      </c>
      <c r="AB41" s="165">
        <f t="shared" si="42"/>
        <v>0</v>
      </c>
      <c r="AC41" s="165">
        <f t="shared" si="57"/>
        <v>0</v>
      </c>
      <c r="AD41" s="165">
        <f t="shared" si="33"/>
        <v>947.52455999999995</v>
      </c>
      <c r="AE41" s="128"/>
    </row>
    <row r="42" spans="1:31">
      <c r="A42" s="165">
        <f t="shared" si="34"/>
        <v>35</v>
      </c>
      <c r="B42" s="166">
        <f t="shared" si="14"/>
        <v>43706</v>
      </c>
      <c r="C42" s="165">
        <f t="shared" si="35"/>
        <v>8</v>
      </c>
      <c r="D42" s="167" t="str">
        <f t="shared" si="36"/>
        <v>Si</v>
      </c>
      <c r="E42" s="168">
        <v>7</v>
      </c>
      <c r="F42" s="168">
        <f t="shared" si="37"/>
        <v>130</v>
      </c>
      <c r="G42" s="165">
        <f t="shared" si="38"/>
        <v>910</v>
      </c>
      <c r="H42" s="168"/>
      <c r="I42" s="165">
        <f t="shared" si="39"/>
        <v>910</v>
      </c>
      <c r="J42" s="165">
        <f t="shared" si="41"/>
        <v>4550</v>
      </c>
      <c r="K42" s="165">
        <f t="shared" si="43"/>
        <v>50.535440000000001</v>
      </c>
      <c r="L42" s="165">
        <f t="shared" si="44"/>
        <v>88.06</v>
      </c>
      <c r="M42" s="165">
        <f t="shared" si="19"/>
        <v>440.3</v>
      </c>
      <c r="N42" s="165">
        <f t="shared" si="45"/>
        <v>1.9900000000000091</v>
      </c>
      <c r="O42" s="165">
        <f t="shared" si="46"/>
        <v>0</v>
      </c>
      <c r="P42" s="165">
        <f t="shared" si="21"/>
        <v>0</v>
      </c>
      <c r="Q42" s="165">
        <f t="shared" si="47"/>
        <v>0</v>
      </c>
      <c r="R42" s="165">
        <f t="shared" si="48"/>
        <v>257.77280000000002</v>
      </c>
      <c r="S42" s="165">
        <f t="shared" si="49"/>
        <v>354.23</v>
      </c>
      <c r="T42" s="165">
        <f t="shared" si="50"/>
        <v>0</v>
      </c>
      <c r="U42" s="165">
        <f t="shared" si="51"/>
        <v>96.4572</v>
      </c>
      <c r="V42" s="165">
        <f t="shared" si="52"/>
        <v>0</v>
      </c>
      <c r="W42" s="165">
        <f t="shared" si="53"/>
        <v>0</v>
      </c>
      <c r="X42" s="165">
        <f t="shared" si="54"/>
        <v>0</v>
      </c>
      <c r="Y42" s="165">
        <f t="shared" si="40"/>
        <v>0</v>
      </c>
      <c r="Z42" s="165">
        <f t="shared" si="55"/>
        <v>0</v>
      </c>
      <c r="AA42" s="165">
        <f t="shared" si="56"/>
        <v>53.641040000000004</v>
      </c>
      <c r="AB42" s="165">
        <f t="shared" si="42"/>
        <v>0</v>
      </c>
      <c r="AC42" s="165">
        <f t="shared" si="57"/>
        <v>0</v>
      </c>
      <c r="AD42" s="165">
        <f t="shared" si="33"/>
        <v>856.35896000000002</v>
      </c>
      <c r="AE42" s="128"/>
    </row>
    <row r="43" spans="1:31">
      <c r="A43" s="165">
        <f t="shared" si="34"/>
        <v>36</v>
      </c>
      <c r="B43" s="166">
        <f t="shared" si="14"/>
        <v>43713</v>
      </c>
      <c r="C43" s="165">
        <f t="shared" si="35"/>
        <v>9</v>
      </c>
      <c r="D43" s="167" t="str">
        <f t="shared" si="36"/>
        <v>no</v>
      </c>
      <c r="E43" s="168">
        <v>7</v>
      </c>
      <c r="F43" s="168">
        <f t="shared" si="37"/>
        <v>130</v>
      </c>
      <c r="G43" s="165">
        <f t="shared" si="38"/>
        <v>910</v>
      </c>
      <c r="H43" s="168"/>
      <c r="I43" s="165">
        <f t="shared" si="39"/>
        <v>910</v>
      </c>
      <c r="J43" s="165">
        <f t="shared" si="41"/>
        <v>910</v>
      </c>
      <c r="K43" s="165">
        <f t="shared" si="43"/>
        <v>50.535440000000001</v>
      </c>
      <c r="L43" s="165">
        <f t="shared" si="44"/>
        <v>88.06</v>
      </c>
      <c r="M43" s="165">
        <f t="shared" si="19"/>
        <v>88.06</v>
      </c>
      <c r="N43" s="165">
        <f t="shared" si="45"/>
        <v>88.06</v>
      </c>
      <c r="O43" s="165">
        <f t="shared" si="46"/>
        <v>0</v>
      </c>
      <c r="P43" s="165">
        <f t="shared" si="21"/>
        <v>37.524560000000001</v>
      </c>
      <c r="Q43" s="165">
        <f t="shared" si="47"/>
        <v>37.524560000000001</v>
      </c>
      <c r="R43" s="165">
        <f t="shared" si="48"/>
        <v>0</v>
      </c>
      <c r="S43" s="165">
        <f t="shared" si="49"/>
        <v>0</v>
      </c>
      <c r="T43" s="165">
        <f t="shared" si="50"/>
        <v>0</v>
      </c>
      <c r="U43" s="165">
        <f t="shared" si="51"/>
        <v>0</v>
      </c>
      <c r="V43" s="165">
        <f t="shared" si="52"/>
        <v>0</v>
      </c>
      <c r="W43" s="165">
        <f t="shared" si="53"/>
        <v>0</v>
      </c>
      <c r="X43" s="165">
        <f t="shared" si="54"/>
        <v>0</v>
      </c>
      <c r="Y43" s="165">
        <f t="shared" si="40"/>
        <v>0</v>
      </c>
      <c r="Z43" s="165">
        <f t="shared" si="55"/>
        <v>0</v>
      </c>
      <c r="AA43" s="165">
        <f t="shared" si="56"/>
        <v>0</v>
      </c>
      <c r="AB43" s="165">
        <f t="shared" si="42"/>
        <v>0</v>
      </c>
      <c r="AC43" s="165">
        <f t="shared" si="57"/>
        <v>0</v>
      </c>
      <c r="AD43" s="165">
        <f t="shared" si="33"/>
        <v>947.52455999999995</v>
      </c>
      <c r="AE43" s="128"/>
    </row>
    <row r="44" spans="1:31">
      <c r="A44" s="165">
        <f t="shared" si="34"/>
        <v>37</v>
      </c>
      <c r="B44" s="166">
        <f t="shared" si="14"/>
        <v>43720</v>
      </c>
      <c r="C44" s="165">
        <f t="shared" si="35"/>
        <v>9</v>
      </c>
      <c r="D44" s="167" t="str">
        <f t="shared" si="36"/>
        <v>no</v>
      </c>
      <c r="E44" s="168">
        <v>7</v>
      </c>
      <c r="F44" s="168">
        <f t="shared" si="37"/>
        <v>130</v>
      </c>
      <c r="G44" s="165">
        <f t="shared" si="38"/>
        <v>910</v>
      </c>
      <c r="H44" s="168"/>
      <c r="I44" s="165">
        <f t="shared" si="39"/>
        <v>910</v>
      </c>
      <c r="J44" s="165">
        <f t="shared" si="41"/>
        <v>1820</v>
      </c>
      <c r="K44" s="165">
        <f t="shared" si="43"/>
        <v>50.535440000000001</v>
      </c>
      <c r="L44" s="165">
        <f t="shared" si="44"/>
        <v>88.06</v>
      </c>
      <c r="M44" s="165">
        <f t="shared" si="19"/>
        <v>176.12</v>
      </c>
      <c r="N44" s="165">
        <f t="shared" si="45"/>
        <v>88.06</v>
      </c>
      <c r="O44" s="165">
        <f t="shared" si="46"/>
        <v>0</v>
      </c>
      <c r="P44" s="165">
        <f t="shared" si="21"/>
        <v>37.524560000000001</v>
      </c>
      <c r="Q44" s="165">
        <f t="shared" si="47"/>
        <v>37.524560000000001</v>
      </c>
      <c r="R44" s="165">
        <f t="shared" si="48"/>
        <v>0</v>
      </c>
      <c r="S44" s="165">
        <f t="shared" si="49"/>
        <v>0</v>
      </c>
      <c r="T44" s="165">
        <f t="shared" si="50"/>
        <v>0</v>
      </c>
      <c r="U44" s="165">
        <f t="shared" si="51"/>
        <v>0</v>
      </c>
      <c r="V44" s="165">
        <f t="shared" si="52"/>
        <v>0</v>
      </c>
      <c r="W44" s="165">
        <f t="shared" si="53"/>
        <v>0</v>
      </c>
      <c r="X44" s="165">
        <f t="shared" si="54"/>
        <v>0</v>
      </c>
      <c r="Y44" s="165">
        <f t="shared" si="40"/>
        <v>0</v>
      </c>
      <c r="Z44" s="165">
        <f t="shared" si="55"/>
        <v>0</v>
      </c>
      <c r="AA44" s="165">
        <f t="shared" si="56"/>
        <v>0</v>
      </c>
      <c r="AB44" s="165">
        <f t="shared" si="42"/>
        <v>0</v>
      </c>
      <c r="AC44" s="165">
        <f t="shared" si="57"/>
        <v>0</v>
      </c>
      <c r="AD44" s="165">
        <f t="shared" si="33"/>
        <v>947.52455999999995</v>
      </c>
      <c r="AE44" s="128"/>
    </row>
    <row r="45" spans="1:31">
      <c r="A45" s="165">
        <f t="shared" si="34"/>
        <v>38</v>
      </c>
      <c r="B45" s="166">
        <f t="shared" si="14"/>
        <v>43727</v>
      </c>
      <c r="C45" s="165">
        <f t="shared" si="35"/>
        <v>9</v>
      </c>
      <c r="D45" s="167" t="str">
        <f t="shared" si="36"/>
        <v>no</v>
      </c>
      <c r="E45" s="168">
        <v>7</v>
      </c>
      <c r="F45" s="168">
        <f t="shared" si="37"/>
        <v>130</v>
      </c>
      <c r="G45" s="165">
        <f t="shared" si="38"/>
        <v>910</v>
      </c>
      <c r="H45" s="168"/>
      <c r="I45" s="165">
        <f t="shared" si="39"/>
        <v>910</v>
      </c>
      <c r="J45" s="165">
        <f t="shared" si="41"/>
        <v>2730</v>
      </c>
      <c r="K45" s="165">
        <f t="shared" si="43"/>
        <v>50.535440000000001</v>
      </c>
      <c r="L45" s="165">
        <f t="shared" si="44"/>
        <v>88.06</v>
      </c>
      <c r="M45" s="165">
        <f t="shared" si="19"/>
        <v>264.18</v>
      </c>
      <c r="N45" s="165">
        <f t="shared" si="45"/>
        <v>88.06</v>
      </c>
      <c r="O45" s="165">
        <f t="shared" si="46"/>
        <v>0</v>
      </c>
      <c r="P45" s="165">
        <f t="shared" si="21"/>
        <v>37.524560000000001</v>
      </c>
      <c r="Q45" s="165">
        <f t="shared" si="47"/>
        <v>37.524560000000001</v>
      </c>
      <c r="R45" s="165">
        <f t="shared" si="48"/>
        <v>0</v>
      </c>
      <c r="S45" s="165">
        <f t="shared" si="49"/>
        <v>0</v>
      </c>
      <c r="T45" s="165">
        <f t="shared" si="50"/>
        <v>0</v>
      </c>
      <c r="U45" s="165">
        <f t="shared" si="51"/>
        <v>0</v>
      </c>
      <c r="V45" s="165">
        <f t="shared" si="52"/>
        <v>0</v>
      </c>
      <c r="W45" s="165">
        <f t="shared" si="53"/>
        <v>0</v>
      </c>
      <c r="X45" s="165">
        <f t="shared" si="54"/>
        <v>0</v>
      </c>
      <c r="Y45" s="165">
        <f t="shared" si="40"/>
        <v>0</v>
      </c>
      <c r="Z45" s="165">
        <f t="shared" si="55"/>
        <v>0</v>
      </c>
      <c r="AA45" s="165">
        <f t="shared" si="56"/>
        <v>0</v>
      </c>
      <c r="AB45" s="165">
        <f t="shared" si="42"/>
        <v>0</v>
      </c>
      <c r="AC45" s="165">
        <f t="shared" si="57"/>
        <v>0</v>
      </c>
      <c r="AD45" s="165">
        <f t="shared" si="33"/>
        <v>947.52455999999995</v>
      </c>
      <c r="AE45" s="128"/>
    </row>
    <row r="46" spans="1:31">
      <c r="A46" s="165">
        <f t="shared" si="34"/>
        <v>39</v>
      </c>
      <c r="B46" s="166">
        <f t="shared" si="14"/>
        <v>43734</v>
      </c>
      <c r="C46" s="165">
        <f t="shared" si="35"/>
        <v>9</v>
      </c>
      <c r="D46" s="167" t="str">
        <f t="shared" si="36"/>
        <v>Si</v>
      </c>
      <c r="E46" s="168">
        <v>7</v>
      </c>
      <c r="F46" s="168">
        <f t="shared" si="37"/>
        <v>130</v>
      </c>
      <c r="G46" s="165">
        <f t="shared" si="38"/>
        <v>910</v>
      </c>
      <c r="H46" s="168"/>
      <c r="I46" s="165">
        <f t="shared" si="39"/>
        <v>910</v>
      </c>
      <c r="J46" s="165">
        <f t="shared" si="41"/>
        <v>3640</v>
      </c>
      <c r="K46" s="165">
        <f t="shared" si="43"/>
        <v>50.535440000000001</v>
      </c>
      <c r="L46" s="165">
        <f t="shared" si="44"/>
        <v>88.06</v>
      </c>
      <c r="M46" s="165">
        <f t="shared" si="19"/>
        <v>352.24</v>
      </c>
      <c r="N46" s="165">
        <f t="shared" si="45"/>
        <v>88.06</v>
      </c>
      <c r="O46" s="165">
        <f t="shared" si="46"/>
        <v>0</v>
      </c>
      <c r="P46" s="165">
        <f t="shared" si="21"/>
        <v>37.524560000000001</v>
      </c>
      <c r="Q46" s="165">
        <f t="shared" si="47"/>
        <v>37.524560000000001</v>
      </c>
      <c r="R46" s="165">
        <f t="shared" si="48"/>
        <v>199.53279999999998</v>
      </c>
      <c r="S46" s="165">
        <f t="shared" si="49"/>
        <v>382.46</v>
      </c>
      <c r="T46" s="165">
        <f t="shared" si="50"/>
        <v>0</v>
      </c>
      <c r="U46" s="165">
        <f t="shared" si="51"/>
        <v>182.9272</v>
      </c>
      <c r="V46" s="165">
        <f t="shared" si="52"/>
        <v>0</v>
      </c>
      <c r="W46" s="165">
        <f t="shared" si="53"/>
        <v>30.21999999999997</v>
      </c>
      <c r="X46" s="165">
        <f t="shared" si="54"/>
        <v>0</v>
      </c>
      <c r="Y46" s="165">
        <f t="shared" si="40"/>
        <v>0</v>
      </c>
      <c r="Z46" s="165">
        <f t="shared" si="55"/>
        <v>0</v>
      </c>
      <c r="AA46" s="165">
        <f t="shared" si="56"/>
        <v>0</v>
      </c>
      <c r="AB46" s="165">
        <f t="shared" si="42"/>
        <v>0</v>
      </c>
      <c r="AC46" s="165">
        <f t="shared" si="57"/>
        <v>32.828959999999995</v>
      </c>
      <c r="AD46" s="165">
        <f t="shared" si="33"/>
        <v>980.35351999999989</v>
      </c>
      <c r="AE46" s="128"/>
    </row>
    <row r="47" spans="1:31">
      <c r="A47" s="165">
        <f t="shared" si="34"/>
        <v>40</v>
      </c>
      <c r="B47" s="166">
        <f t="shared" si="14"/>
        <v>43741</v>
      </c>
      <c r="C47" s="165">
        <f t="shared" si="35"/>
        <v>10</v>
      </c>
      <c r="D47" s="167" t="str">
        <f t="shared" si="36"/>
        <v>no</v>
      </c>
      <c r="E47" s="168">
        <v>7</v>
      </c>
      <c r="F47" s="168">
        <f t="shared" si="37"/>
        <v>130</v>
      </c>
      <c r="G47" s="165">
        <f t="shared" si="38"/>
        <v>910</v>
      </c>
      <c r="H47" s="168"/>
      <c r="I47" s="165">
        <f t="shared" si="39"/>
        <v>910</v>
      </c>
      <c r="J47" s="165">
        <f t="shared" si="41"/>
        <v>910</v>
      </c>
      <c r="K47" s="165">
        <f t="shared" si="43"/>
        <v>50.535440000000001</v>
      </c>
      <c r="L47" s="165">
        <f t="shared" si="44"/>
        <v>88.06</v>
      </c>
      <c r="M47" s="165">
        <f t="shared" si="19"/>
        <v>88.06</v>
      </c>
      <c r="N47" s="165">
        <f t="shared" si="45"/>
        <v>88.06</v>
      </c>
      <c r="O47" s="165">
        <f t="shared" si="46"/>
        <v>0</v>
      </c>
      <c r="P47" s="165">
        <f t="shared" si="21"/>
        <v>37.524560000000001</v>
      </c>
      <c r="Q47" s="165">
        <f t="shared" si="47"/>
        <v>37.524560000000001</v>
      </c>
      <c r="R47" s="165">
        <f t="shared" si="48"/>
        <v>0</v>
      </c>
      <c r="S47" s="165">
        <f t="shared" si="49"/>
        <v>0</v>
      </c>
      <c r="T47" s="165">
        <f t="shared" si="50"/>
        <v>0</v>
      </c>
      <c r="U47" s="165">
        <f t="shared" si="51"/>
        <v>0</v>
      </c>
      <c r="V47" s="165">
        <f t="shared" si="52"/>
        <v>0</v>
      </c>
      <c r="W47" s="165">
        <f t="shared" si="53"/>
        <v>0</v>
      </c>
      <c r="X47" s="165">
        <f t="shared" si="54"/>
        <v>0</v>
      </c>
      <c r="Y47" s="165">
        <f t="shared" si="40"/>
        <v>0</v>
      </c>
      <c r="Z47" s="165">
        <f t="shared" si="55"/>
        <v>0</v>
      </c>
      <c r="AA47" s="165">
        <f t="shared" si="56"/>
        <v>0</v>
      </c>
      <c r="AB47" s="165">
        <f t="shared" si="42"/>
        <v>0</v>
      </c>
      <c r="AC47" s="165">
        <f t="shared" si="57"/>
        <v>0</v>
      </c>
      <c r="AD47" s="165">
        <f t="shared" si="33"/>
        <v>947.52455999999995</v>
      </c>
      <c r="AE47" s="128"/>
    </row>
    <row r="48" spans="1:31">
      <c r="A48" s="165">
        <f t="shared" si="34"/>
        <v>41</v>
      </c>
      <c r="B48" s="166">
        <f t="shared" si="14"/>
        <v>43748</v>
      </c>
      <c r="C48" s="165">
        <f t="shared" si="35"/>
        <v>10</v>
      </c>
      <c r="D48" s="167" t="str">
        <f t="shared" si="36"/>
        <v>no</v>
      </c>
      <c r="E48" s="168">
        <v>7</v>
      </c>
      <c r="F48" s="168">
        <f t="shared" si="37"/>
        <v>130</v>
      </c>
      <c r="G48" s="165">
        <f t="shared" si="38"/>
        <v>910</v>
      </c>
      <c r="H48" s="168"/>
      <c r="I48" s="165">
        <f t="shared" si="39"/>
        <v>910</v>
      </c>
      <c r="J48" s="165">
        <f t="shared" si="41"/>
        <v>1820</v>
      </c>
      <c r="K48" s="165">
        <f t="shared" si="43"/>
        <v>50.535440000000001</v>
      </c>
      <c r="L48" s="165">
        <f t="shared" si="44"/>
        <v>88.06</v>
      </c>
      <c r="M48" s="165">
        <f t="shared" si="19"/>
        <v>176.12</v>
      </c>
      <c r="N48" s="165">
        <f t="shared" si="45"/>
        <v>88.06</v>
      </c>
      <c r="O48" s="165">
        <f t="shared" si="46"/>
        <v>0</v>
      </c>
      <c r="P48" s="165">
        <f t="shared" si="21"/>
        <v>37.524560000000001</v>
      </c>
      <c r="Q48" s="165">
        <f t="shared" si="47"/>
        <v>37.524560000000001</v>
      </c>
      <c r="R48" s="165">
        <f t="shared" si="48"/>
        <v>0</v>
      </c>
      <c r="S48" s="165">
        <f t="shared" si="49"/>
        <v>0</v>
      </c>
      <c r="T48" s="165">
        <f t="shared" si="50"/>
        <v>0</v>
      </c>
      <c r="U48" s="165">
        <f t="shared" si="51"/>
        <v>0</v>
      </c>
      <c r="V48" s="165">
        <f t="shared" si="52"/>
        <v>0</v>
      </c>
      <c r="W48" s="165">
        <f t="shared" si="53"/>
        <v>0</v>
      </c>
      <c r="X48" s="165">
        <f t="shared" si="54"/>
        <v>0</v>
      </c>
      <c r="Y48" s="165">
        <f t="shared" si="40"/>
        <v>0</v>
      </c>
      <c r="Z48" s="165">
        <f t="shared" si="55"/>
        <v>0</v>
      </c>
      <c r="AA48" s="165">
        <f t="shared" si="56"/>
        <v>0</v>
      </c>
      <c r="AB48" s="165">
        <f t="shared" si="42"/>
        <v>0</v>
      </c>
      <c r="AC48" s="165">
        <f t="shared" si="57"/>
        <v>0</v>
      </c>
      <c r="AD48" s="165">
        <f t="shared" si="33"/>
        <v>947.52455999999995</v>
      </c>
      <c r="AE48" s="128"/>
    </row>
    <row r="49" spans="1:31">
      <c r="A49" s="165">
        <f t="shared" si="34"/>
        <v>42</v>
      </c>
      <c r="B49" s="166">
        <f t="shared" si="14"/>
        <v>43755</v>
      </c>
      <c r="C49" s="165">
        <f t="shared" si="35"/>
        <v>10</v>
      </c>
      <c r="D49" s="167" t="str">
        <f t="shared" si="36"/>
        <v>no</v>
      </c>
      <c r="E49" s="168">
        <v>7</v>
      </c>
      <c r="F49" s="168">
        <f t="shared" si="37"/>
        <v>130</v>
      </c>
      <c r="G49" s="165">
        <f t="shared" si="38"/>
        <v>910</v>
      </c>
      <c r="H49" s="168"/>
      <c r="I49" s="165">
        <f t="shared" si="39"/>
        <v>910</v>
      </c>
      <c r="J49" s="165">
        <f t="shared" si="41"/>
        <v>2730</v>
      </c>
      <c r="K49" s="165">
        <f t="shared" si="43"/>
        <v>50.535440000000001</v>
      </c>
      <c r="L49" s="165">
        <f t="shared" si="44"/>
        <v>88.06</v>
      </c>
      <c r="M49" s="165">
        <f t="shared" si="19"/>
        <v>264.18</v>
      </c>
      <c r="N49" s="165">
        <f t="shared" si="45"/>
        <v>88.06</v>
      </c>
      <c r="O49" s="165">
        <f t="shared" si="46"/>
        <v>0</v>
      </c>
      <c r="P49" s="165">
        <f t="shared" si="21"/>
        <v>37.524560000000001</v>
      </c>
      <c r="Q49" s="165">
        <f t="shared" si="47"/>
        <v>37.524560000000001</v>
      </c>
      <c r="R49" s="165">
        <f t="shared" si="48"/>
        <v>0</v>
      </c>
      <c r="S49" s="165">
        <f t="shared" si="49"/>
        <v>0</v>
      </c>
      <c r="T49" s="165">
        <f t="shared" si="50"/>
        <v>0</v>
      </c>
      <c r="U49" s="165">
        <f t="shared" si="51"/>
        <v>0</v>
      </c>
      <c r="V49" s="165">
        <f t="shared" si="52"/>
        <v>0</v>
      </c>
      <c r="W49" s="165">
        <f t="shared" si="53"/>
        <v>0</v>
      </c>
      <c r="X49" s="165">
        <f t="shared" si="54"/>
        <v>0</v>
      </c>
      <c r="Y49" s="165">
        <f t="shared" si="40"/>
        <v>0</v>
      </c>
      <c r="Z49" s="165">
        <f t="shared" si="55"/>
        <v>0</v>
      </c>
      <c r="AA49" s="165">
        <f t="shared" si="56"/>
        <v>0</v>
      </c>
      <c r="AB49" s="165">
        <f t="shared" si="42"/>
        <v>0</v>
      </c>
      <c r="AC49" s="165">
        <f t="shared" si="57"/>
        <v>0</v>
      </c>
      <c r="AD49" s="165">
        <f t="shared" si="33"/>
        <v>947.52455999999995</v>
      </c>
      <c r="AE49" s="128"/>
    </row>
    <row r="50" spans="1:31">
      <c r="A50" s="165">
        <f t="shared" si="34"/>
        <v>43</v>
      </c>
      <c r="B50" s="166">
        <f t="shared" si="14"/>
        <v>43762</v>
      </c>
      <c r="C50" s="165">
        <f t="shared" si="35"/>
        <v>10</v>
      </c>
      <c r="D50" s="167" t="str">
        <f t="shared" si="36"/>
        <v>no</v>
      </c>
      <c r="E50" s="168">
        <v>7</v>
      </c>
      <c r="F50" s="168">
        <f t="shared" si="37"/>
        <v>130</v>
      </c>
      <c r="G50" s="165">
        <f t="shared" si="38"/>
        <v>910</v>
      </c>
      <c r="H50" s="168"/>
      <c r="I50" s="165">
        <f t="shared" si="39"/>
        <v>910</v>
      </c>
      <c r="J50" s="165">
        <f t="shared" si="41"/>
        <v>3640</v>
      </c>
      <c r="K50" s="165">
        <f t="shared" si="43"/>
        <v>50.535440000000001</v>
      </c>
      <c r="L50" s="165">
        <f t="shared" si="44"/>
        <v>88.06</v>
      </c>
      <c r="M50" s="165">
        <f t="shared" si="19"/>
        <v>352.24</v>
      </c>
      <c r="N50" s="165">
        <f t="shared" si="45"/>
        <v>88.06</v>
      </c>
      <c r="O50" s="165">
        <f t="shared" si="46"/>
        <v>0</v>
      </c>
      <c r="P50" s="165">
        <f t="shared" si="21"/>
        <v>37.524560000000001</v>
      </c>
      <c r="Q50" s="165">
        <f t="shared" si="47"/>
        <v>37.524560000000001</v>
      </c>
      <c r="R50" s="165">
        <f t="shared" si="48"/>
        <v>0</v>
      </c>
      <c r="S50" s="165">
        <f t="shared" si="49"/>
        <v>0</v>
      </c>
      <c r="T50" s="165">
        <f t="shared" si="50"/>
        <v>0</v>
      </c>
      <c r="U50" s="165">
        <f t="shared" si="51"/>
        <v>0</v>
      </c>
      <c r="V50" s="165">
        <f t="shared" si="52"/>
        <v>0</v>
      </c>
      <c r="W50" s="165">
        <f t="shared" si="53"/>
        <v>0</v>
      </c>
      <c r="X50" s="165">
        <f t="shared" si="54"/>
        <v>0</v>
      </c>
      <c r="Y50" s="165">
        <f t="shared" si="40"/>
        <v>0</v>
      </c>
      <c r="Z50" s="165">
        <f t="shared" si="55"/>
        <v>0</v>
      </c>
      <c r="AA50" s="165">
        <f t="shared" si="56"/>
        <v>0</v>
      </c>
      <c r="AB50" s="165">
        <f t="shared" si="42"/>
        <v>0</v>
      </c>
      <c r="AC50" s="165">
        <f t="shared" si="57"/>
        <v>0</v>
      </c>
      <c r="AD50" s="165">
        <f t="shared" si="33"/>
        <v>947.52455999999995</v>
      </c>
      <c r="AE50" s="128"/>
    </row>
    <row r="51" spans="1:31">
      <c r="A51" s="165">
        <f t="shared" si="34"/>
        <v>44</v>
      </c>
      <c r="B51" s="166">
        <f t="shared" si="14"/>
        <v>43769</v>
      </c>
      <c r="C51" s="165">
        <f t="shared" si="35"/>
        <v>10</v>
      </c>
      <c r="D51" s="167" t="str">
        <f t="shared" si="36"/>
        <v>Si</v>
      </c>
      <c r="E51" s="168">
        <v>7</v>
      </c>
      <c r="F51" s="168">
        <f t="shared" si="37"/>
        <v>130</v>
      </c>
      <c r="G51" s="165">
        <f t="shared" si="38"/>
        <v>910</v>
      </c>
      <c r="H51" s="168"/>
      <c r="I51" s="165">
        <f t="shared" si="39"/>
        <v>910</v>
      </c>
      <c r="J51" s="165">
        <f t="shared" si="41"/>
        <v>4550</v>
      </c>
      <c r="K51" s="165">
        <f t="shared" si="43"/>
        <v>50.535440000000001</v>
      </c>
      <c r="L51" s="165">
        <f t="shared" si="44"/>
        <v>88.06</v>
      </c>
      <c r="M51" s="165">
        <f t="shared" si="19"/>
        <v>440.3</v>
      </c>
      <c r="N51" s="165">
        <f t="shared" si="45"/>
        <v>1.9900000000000091</v>
      </c>
      <c r="O51" s="165">
        <f t="shared" si="46"/>
        <v>0</v>
      </c>
      <c r="P51" s="165">
        <f t="shared" si="21"/>
        <v>0</v>
      </c>
      <c r="Q51" s="165">
        <f t="shared" si="47"/>
        <v>0</v>
      </c>
      <c r="R51" s="165">
        <f t="shared" si="48"/>
        <v>257.77280000000002</v>
      </c>
      <c r="S51" s="165">
        <f t="shared" si="49"/>
        <v>354.23</v>
      </c>
      <c r="T51" s="165">
        <f t="shared" si="50"/>
        <v>0</v>
      </c>
      <c r="U51" s="165">
        <f t="shared" si="51"/>
        <v>96.4572</v>
      </c>
      <c r="V51" s="165">
        <f t="shared" si="52"/>
        <v>0</v>
      </c>
      <c r="W51" s="165">
        <f t="shared" si="53"/>
        <v>0</v>
      </c>
      <c r="X51" s="165">
        <f t="shared" si="54"/>
        <v>0</v>
      </c>
      <c r="Y51" s="165">
        <f t="shared" si="40"/>
        <v>0</v>
      </c>
      <c r="Z51" s="165">
        <f t="shared" si="55"/>
        <v>0</v>
      </c>
      <c r="AA51" s="165">
        <f t="shared" si="56"/>
        <v>53.641040000000004</v>
      </c>
      <c r="AB51" s="165">
        <f t="shared" si="42"/>
        <v>0</v>
      </c>
      <c r="AC51" s="165">
        <f t="shared" si="57"/>
        <v>0</v>
      </c>
      <c r="AD51" s="165">
        <f t="shared" si="33"/>
        <v>856.35896000000002</v>
      </c>
      <c r="AE51" s="128"/>
    </row>
    <row r="52" spans="1:31">
      <c r="A52" s="165">
        <f t="shared" si="34"/>
        <v>45</v>
      </c>
      <c r="B52" s="166">
        <f t="shared" si="14"/>
        <v>43776</v>
      </c>
      <c r="C52" s="165">
        <f t="shared" si="35"/>
        <v>11</v>
      </c>
      <c r="D52" s="167" t="str">
        <f t="shared" si="36"/>
        <v>no</v>
      </c>
      <c r="E52" s="168">
        <v>7</v>
      </c>
      <c r="F52" s="168">
        <f t="shared" si="37"/>
        <v>130</v>
      </c>
      <c r="G52" s="165">
        <f t="shared" si="38"/>
        <v>910</v>
      </c>
      <c r="H52" s="168"/>
      <c r="I52" s="165">
        <f t="shared" si="39"/>
        <v>910</v>
      </c>
      <c r="J52" s="165">
        <f t="shared" si="41"/>
        <v>910</v>
      </c>
      <c r="K52" s="165">
        <f t="shared" si="43"/>
        <v>50.535440000000001</v>
      </c>
      <c r="L52" s="165">
        <f t="shared" si="44"/>
        <v>88.06</v>
      </c>
      <c r="M52" s="165">
        <f t="shared" si="19"/>
        <v>88.06</v>
      </c>
      <c r="N52" s="165">
        <f t="shared" si="45"/>
        <v>88.06</v>
      </c>
      <c r="O52" s="165">
        <f t="shared" si="46"/>
        <v>0</v>
      </c>
      <c r="P52" s="165">
        <f t="shared" si="21"/>
        <v>37.524560000000001</v>
      </c>
      <c r="Q52" s="165">
        <f t="shared" si="47"/>
        <v>37.524560000000001</v>
      </c>
      <c r="R52" s="165">
        <f t="shared" si="48"/>
        <v>0</v>
      </c>
      <c r="S52" s="165">
        <f t="shared" si="49"/>
        <v>0</v>
      </c>
      <c r="T52" s="165">
        <f t="shared" si="50"/>
        <v>0</v>
      </c>
      <c r="U52" s="165">
        <f t="shared" si="51"/>
        <v>0</v>
      </c>
      <c r="V52" s="165">
        <f t="shared" si="52"/>
        <v>0</v>
      </c>
      <c r="W52" s="165">
        <f t="shared" si="53"/>
        <v>0</v>
      </c>
      <c r="X52" s="165">
        <f t="shared" si="54"/>
        <v>0</v>
      </c>
      <c r="Y52" s="165">
        <f t="shared" si="40"/>
        <v>0</v>
      </c>
      <c r="Z52" s="165">
        <f t="shared" si="55"/>
        <v>0</v>
      </c>
      <c r="AA52" s="165">
        <f t="shared" si="56"/>
        <v>0</v>
      </c>
      <c r="AB52" s="165">
        <f t="shared" si="42"/>
        <v>0</v>
      </c>
      <c r="AC52" s="165">
        <f t="shared" si="57"/>
        <v>0</v>
      </c>
      <c r="AD52" s="165">
        <f t="shared" si="33"/>
        <v>947.52455999999995</v>
      </c>
      <c r="AE52" s="128"/>
    </row>
    <row r="53" spans="1:31">
      <c r="A53" s="165">
        <f t="shared" si="34"/>
        <v>46</v>
      </c>
      <c r="B53" s="166">
        <f t="shared" si="14"/>
        <v>43783</v>
      </c>
      <c r="C53" s="165">
        <f t="shared" si="35"/>
        <v>11</v>
      </c>
      <c r="D53" s="167" t="str">
        <f t="shared" si="36"/>
        <v>no</v>
      </c>
      <c r="E53" s="168">
        <v>7</v>
      </c>
      <c r="F53" s="168">
        <f t="shared" si="37"/>
        <v>130</v>
      </c>
      <c r="G53" s="165">
        <f t="shared" si="38"/>
        <v>910</v>
      </c>
      <c r="H53" s="168"/>
      <c r="I53" s="165">
        <f t="shared" si="39"/>
        <v>910</v>
      </c>
      <c r="J53" s="165">
        <f t="shared" si="41"/>
        <v>1820</v>
      </c>
      <c r="K53" s="165">
        <f t="shared" si="43"/>
        <v>50.535440000000001</v>
      </c>
      <c r="L53" s="165">
        <f t="shared" si="44"/>
        <v>88.06</v>
      </c>
      <c r="M53" s="165">
        <f t="shared" si="19"/>
        <v>176.12</v>
      </c>
      <c r="N53" s="165">
        <f t="shared" si="45"/>
        <v>88.06</v>
      </c>
      <c r="O53" s="165">
        <f t="shared" si="46"/>
        <v>0</v>
      </c>
      <c r="P53" s="165">
        <f t="shared" si="21"/>
        <v>37.524560000000001</v>
      </c>
      <c r="Q53" s="165">
        <f t="shared" si="47"/>
        <v>37.524560000000001</v>
      </c>
      <c r="R53" s="165">
        <f t="shared" si="48"/>
        <v>0</v>
      </c>
      <c r="S53" s="165">
        <f t="shared" si="49"/>
        <v>0</v>
      </c>
      <c r="T53" s="165">
        <f t="shared" si="50"/>
        <v>0</v>
      </c>
      <c r="U53" s="165">
        <f t="shared" si="51"/>
        <v>0</v>
      </c>
      <c r="V53" s="165">
        <f t="shared" si="52"/>
        <v>0</v>
      </c>
      <c r="W53" s="165">
        <f t="shared" si="53"/>
        <v>0</v>
      </c>
      <c r="X53" s="165">
        <f t="shared" si="54"/>
        <v>0</v>
      </c>
      <c r="Y53" s="165">
        <f t="shared" si="40"/>
        <v>0</v>
      </c>
      <c r="Z53" s="165">
        <f t="shared" si="55"/>
        <v>0</v>
      </c>
      <c r="AA53" s="165">
        <f t="shared" si="56"/>
        <v>0</v>
      </c>
      <c r="AB53" s="165">
        <f t="shared" si="42"/>
        <v>0</v>
      </c>
      <c r="AC53" s="165">
        <f t="shared" si="57"/>
        <v>0</v>
      </c>
      <c r="AD53" s="165">
        <f t="shared" si="33"/>
        <v>947.52455999999995</v>
      </c>
      <c r="AE53" s="128"/>
    </row>
    <row r="54" spans="1:31">
      <c r="A54" s="165">
        <f t="shared" si="34"/>
        <v>47</v>
      </c>
      <c r="B54" s="166">
        <f t="shared" si="14"/>
        <v>43790</v>
      </c>
      <c r="C54" s="165">
        <f t="shared" si="35"/>
        <v>11</v>
      </c>
      <c r="D54" s="167" t="str">
        <f t="shared" si="36"/>
        <v>no</v>
      </c>
      <c r="E54" s="168">
        <v>7</v>
      </c>
      <c r="F54" s="168">
        <f t="shared" si="37"/>
        <v>130</v>
      </c>
      <c r="G54" s="165">
        <f t="shared" si="38"/>
        <v>910</v>
      </c>
      <c r="H54" s="168"/>
      <c r="I54" s="165">
        <f t="shared" si="39"/>
        <v>910</v>
      </c>
      <c r="J54" s="165">
        <f t="shared" si="41"/>
        <v>2730</v>
      </c>
      <c r="K54" s="165">
        <f t="shared" si="43"/>
        <v>50.535440000000001</v>
      </c>
      <c r="L54" s="165">
        <f t="shared" si="44"/>
        <v>88.06</v>
      </c>
      <c r="M54" s="165">
        <f t="shared" si="19"/>
        <v>264.18</v>
      </c>
      <c r="N54" s="165">
        <f t="shared" si="45"/>
        <v>88.06</v>
      </c>
      <c r="O54" s="165">
        <f t="shared" si="46"/>
        <v>0</v>
      </c>
      <c r="P54" s="165">
        <f t="shared" si="21"/>
        <v>37.524560000000001</v>
      </c>
      <c r="Q54" s="165">
        <f t="shared" si="47"/>
        <v>37.524560000000001</v>
      </c>
      <c r="R54" s="165">
        <f t="shared" si="48"/>
        <v>0</v>
      </c>
      <c r="S54" s="165">
        <f t="shared" si="49"/>
        <v>0</v>
      </c>
      <c r="T54" s="165">
        <f t="shared" si="50"/>
        <v>0</v>
      </c>
      <c r="U54" s="165">
        <f t="shared" si="51"/>
        <v>0</v>
      </c>
      <c r="V54" s="165">
        <f t="shared" si="52"/>
        <v>0</v>
      </c>
      <c r="W54" s="165">
        <f t="shared" si="53"/>
        <v>0</v>
      </c>
      <c r="X54" s="165">
        <f t="shared" si="54"/>
        <v>0</v>
      </c>
      <c r="Y54" s="165">
        <f t="shared" si="40"/>
        <v>0</v>
      </c>
      <c r="Z54" s="165">
        <f t="shared" si="55"/>
        <v>0</v>
      </c>
      <c r="AA54" s="165">
        <f t="shared" si="56"/>
        <v>0</v>
      </c>
      <c r="AB54" s="165">
        <f t="shared" si="42"/>
        <v>0</v>
      </c>
      <c r="AC54" s="165">
        <f t="shared" si="57"/>
        <v>0</v>
      </c>
      <c r="AD54" s="165">
        <f t="shared" si="33"/>
        <v>947.52455999999995</v>
      </c>
      <c r="AE54" s="128"/>
    </row>
    <row r="55" spans="1:31">
      <c r="A55" s="165">
        <f t="shared" si="34"/>
        <v>48</v>
      </c>
      <c r="B55" s="166">
        <f t="shared" si="14"/>
        <v>43797</v>
      </c>
      <c r="C55" s="165">
        <f t="shared" si="35"/>
        <v>11</v>
      </c>
      <c r="D55" s="167" t="str">
        <f t="shared" si="36"/>
        <v>Si</v>
      </c>
      <c r="E55" s="168">
        <v>7</v>
      </c>
      <c r="F55" s="168">
        <f t="shared" si="37"/>
        <v>130</v>
      </c>
      <c r="G55" s="165">
        <f t="shared" si="38"/>
        <v>910</v>
      </c>
      <c r="H55" s="168"/>
      <c r="I55" s="165">
        <f t="shared" si="39"/>
        <v>910</v>
      </c>
      <c r="J55" s="165">
        <f t="shared" si="41"/>
        <v>3640</v>
      </c>
      <c r="K55" s="165">
        <f t="shared" si="43"/>
        <v>50.535440000000001</v>
      </c>
      <c r="L55" s="165">
        <f t="shared" si="44"/>
        <v>88.06</v>
      </c>
      <c r="M55" s="165">
        <f t="shared" si="19"/>
        <v>352.24</v>
      </c>
      <c r="N55" s="165">
        <f t="shared" si="45"/>
        <v>88.06</v>
      </c>
      <c r="O55" s="165">
        <f t="shared" si="46"/>
        <v>0</v>
      </c>
      <c r="P55" s="165">
        <f t="shared" si="21"/>
        <v>37.524560000000001</v>
      </c>
      <c r="Q55" s="165">
        <f t="shared" si="47"/>
        <v>37.524560000000001</v>
      </c>
      <c r="R55" s="165">
        <f t="shared" si="48"/>
        <v>199.53279999999998</v>
      </c>
      <c r="S55" s="165">
        <f t="shared" si="49"/>
        <v>382.46</v>
      </c>
      <c r="T55" s="165">
        <f t="shared" si="50"/>
        <v>0</v>
      </c>
      <c r="U55" s="165">
        <f t="shared" si="51"/>
        <v>182.9272</v>
      </c>
      <c r="V55" s="165">
        <f t="shared" si="52"/>
        <v>0</v>
      </c>
      <c r="W55" s="165">
        <f t="shared" si="53"/>
        <v>30.21999999999997</v>
      </c>
      <c r="X55" s="165">
        <f t="shared" si="54"/>
        <v>0</v>
      </c>
      <c r="Y55" s="165">
        <f t="shared" si="40"/>
        <v>0</v>
      </c>
      <c r="Z55" s="165">
        <f t="shared" si="55"/>
        <v>0</v>
      </c>
      <c r="AA55" s="165">
        <f t="shared" si="56"/>
        <v>0</v>
      </c>
      <c r="AB55" s="165">
        <f t="shared" si="42"/>
        <v>0</v>
      </c>
      <c r="AC55" s="165">
        <f t="shared" si="57"/>
        <v>32.828959999999995</v>
      </c>
      <c r="AD55" s="165">
        <f t="shared" si="33"/>
        <v>980.35351999999989</v>
      </c>
      <c r="AE55" s="128"/>
    </row>
    <row r="56" spans="1:31">
      <c r="A56" s="165">
        <f t="shared" si="34"/>
        <v>49</v>
      </c>
      <c r="B56" s="166">
        <f t="shared" si="14"/>
        <v>43804</v>
      </c>
      <c r="C56" s="165">
        <f t="shared" si="35"/>
        <v>12</v>
      </c>
      <c r="D56" s="167" t="str">
        <f t="shared" si="36"/>
        <v>no</v>
      </c>
      <c r="E56" s="168">
        <v>7</v>
      </c>
      <c r="F56" s="168">
        <f t="shared" si="37"/>
        <v>130</v>
      </c>
      <c r="G56" s="165">
        <f t="shared" si="38"/>
        <v>910</v>
      </c>
      <c r="H56" s="168"/>
      <c r="I56" s="165">
        <f t="shared" si="39"/>
        <v>910</v>
      </c>
      <c r="J56" s="165">
        <f t="shared" si="41"/>
        <v>910</v>
      </c>
      <c r="K56" s="165">
        <f t="shared" si="43"/>
        <v>50.535440000000001</v>
      </c>
      <c r="L56" s="165">
        <f t="shared" si="44"/>
        <v>88.06</v>
      </c>
      <c r="M56" s="165">
        <f t="shared" si="19"/>
        <v>88.06</v>
      </c>
      <c r="N56" s="165">
        <f t="shared" si="45"/>
        <v>88.06</v>
      </c>
      <c r="O56" s="165">
        <f t="shared" si="46"/>
        <v>0</v>
      </c>
      <c r="P56" s="165">
        <f t="shared" si="21"/>
        <v>37.524560000000001</v>
      </c>
      <c r="Q56" s="165">
        <f t="shared" si="47"/>
        <v>37.524560000000001</v>
      </c>
      <c r="R56" s="165">
        <f t="shared" si="48"/>
        <v>0</v>
      </c>
      <c r="S56" s="165">
        <f t="shared" si="49"/>
        <v>0</v>
      </c>
      <c r="T56" s="165">
        <f t="shared" si="50"/>
        <v>0</v>
      </c>
      <c r="U56" s="165">
        <f t="shared" si="51"/>
        <v>0</v>
      </c>
      <c r="V56" s="165">
        <f t="shared" si="52"/>
        <v>0</v>
      </c>
      <c r="W56" s="165">
        <f t="shared" si="53"/>
        <v>0</v>
      </c>
      <c r="X56" s="165">
        <f t="shared" si="54"/>
        <v>0</v>
      </c>
      <c r="Y56" s="165">
        <f t="shared" si="40"/>
        <v>0</v>
      </c>
      <c r="Z56" s="165">
        <f t="shared" si="55"/>
        <v>0</v>
      </c>
      <c r="AA56" s="165">
        <f t="shared" si="56"/>
        <v>0</v>
      </c>
      <c r="AB56" s="165">
        <f t="shared" si="42"/>
        <v>0</v>
      </c>
      <c r="AC56" s="165">
        <f t="shared" si="57"/>
        <v>0</v>
      </c>
      <c r="AD56" s="165">
        <f t="shared" si="33"/>
        <v>947.52455999999995</v>
      </c>
      <c r="AE56" s="128"/>
    </row>
    <row r="57" spans="1:31">
      <c r="A57" s="165">
        <f t="shared" si="34"/>
        <v>50</v>
      </c>
      <c r="B57" s="166">
        <f t="shared" si="14"/>
        <v>43811</v>
      </c>
      <c r="C57" s="165">
        <f t="shared" si="35"/>
        <v>12</v>
      </c>
      <c r="D57" s="167" t="str">
        <f t="shared" si="36"/>
        <v>no</v>
      </c>
      <c r="E57" s="168">
        <v>7</v>
      </c>
      <c r="F57" s="168">
        <f t="shared" si="37"/>
        <v>130</v>
      </c>
      <c r="G57" s="165">
        <f t="shared" si="38"/>
        <v>910</v>
      </c>
      <c r="H57" s="168"/>
      <c r="I57" s="165">
        <f t="shared" si="39"/>
        <v>910</v>
      </c>
      <c r="J57" s="165">
        <f t="shared" si="41"/>
        <v>1820</v>
      </c>
      <c r="K57" s="165">
        <f t="shared" si="43"/>
        <v>50.535440000000001</v>
      </c>
      <c r="L57" s="165">
        <f t="shared" si="44"/>
        <v>88.06</v>
      </c>
      <c r="M57" s="165">
        <f t="shared" si="19"/>
        <v>176.12</v>
      </c>
      <c r="N57" s="165">
        <f t="shared" si="45"/>
        <v>88.06</v>
      </c>
      <c r="O57" s="165">
        <f t="shared" si="46"/>
        <v>0</v>
      </c>
      <c r="P57" s="165">
        <f t="shared" si="21"/>
        <v>37.524560000000001</v>
      </c>
      <c r="Q57" s="165">
        <f t="shared" si="47"/>
        <v>37.524560000000001</v>
      </c>
      <c r="R57" s="165">
        <f t="shared" si="48"/>
        <v>0</v>
      </c>
      <c r="S57" s="165">
        <f t="shared" si="49"/>
        <v>0</v>
      </c>
      <c r="T57" s="165">
        <f t="shared" si="50"/>
        <v>0</v>
      </c>
      <c r="U57" s="165">
        <f t="shared" si="51"/>
        <v>0</v>
      </c>
      <c r="V57" s="165">
        <f t="shared" si="52"/>
        <v>0</v>
      </c>
      <c r="W57" s="165">
        <f t="shared" si="53"/>
        <v>0</v>
      </c>
      <c r="X57" s="165">
        <f t="shared" si="54"/>
        <v>0</v>
      </c>
      <c r="Y57" s="165">
        <f t="shared" si="40"/>
        <v>0</v>
      </c>
      <c r="Z57" s="165">
        <f t="shared" si="55"/>
        <v>0</v>
      </c>
      <c r="AA57" s="165">
        <f t="shared" si="56"/>
        <v>0</v>
      </c>
      <c r="AB57" s="165">
        <f t="shared" si="42"/>
        <v>0</v>
      </c>
      <c r="AC57" s="165">
        <f t="shared" si="57"/>
        <v>0</v>
      </c>
      <c r="AD57" s="165">
        <f t="shared" si="33"/>
        <v>947.52455999999995</v>
      </c>
      <c r="AE57" s="128"/>
    </row>
    <row r="58" spans="1:31">
      <c r="A58" s="165">
        <f t="shared" si="34"/>
        <v>51</v>
      </c>
      <c r="B58" s="166">
        <f t="shared" ref="B58:B60" si="58">+B57+7</f>
        <v>43818</v>
      </c>
      <c r="C58" s="165">
        <f t="shared" ref="C58:C59" si="59">MONTH(B58)</f>
        <v>12</v>
      </c>
      <c r="D58" s="167" t="str">
        <f t="shared" ref="D58" si="60">IF(C58=C59,"no","Si")</f>
        <v>no</v>
      </c>
      <c r="E58" s="168">
        <v>7</v>
      </c>
      <c r="F58" s="168">
        <f t="shared" si="37"/>
        <v>130</v>
      </c>
      <c r="G58" s="165">
        <f t="shared" ref="G58:G59" si="61">+F58*E58</f>
        <v>910</v>
      </c>
      <c r="H58" s="168"/>
      <c r="I58" s="165">
        <f t="shared" ref="I58:I59" si="62">+G58+H58</f>
        <v>910</v>
      </c>
      <c r="J58" s="165">
        <f t="shared" ref="J58:J59" si="63">IF(D57="si",I58,+I58+J57)</f>
        <v>2730</v>
      </c>
      <c r="K58" s="165">
        <f t="shared" si="43"/>
        <v>50.535440000000001</v>
      </c>
      <c r="L58" s="165">
        <f t="shared" si="44"/>
        <v>88.06</v>
      </c>
      <c r="M58" s="165">
        <f t="shared" si="19"/>
        <v>264.18</v>
      </c>
      <c r="N58" s="165">
        <f t="shared" si="45"/>
        <v>88.06</v>
      </c>
      <c r="O58" s="165">
        <f t="shared" si="46"/>
        <v>0</v>
      </c>
      <c r="P58" s="165">
        <f t="shared" si="21"/>
        <v>37.524560000000001</v>
      </c>
      <c r="Q58" s="165">
        <f t="shared" si="47"/>
        <v>37.524560000000001</v>
      </c>
      <c r="R58" s="165">
        <f t="shared" si="48"/>
        <v>0</v>
      </c>
      <c r="S58" s="165">
        <f t="shared" si="49"/>
        <v>0</v>
      </c>
      <c r="T58" s="165">
        <f t="shared" si="50"/>
        <v>0</v>
      </c>
      <c r="U58" s="165">
        <f t="shared" si="51"/>
        <v>0</v>
      </c>
      <c r="V58" s="165">
        <f t="shared" si="52"/>
        <v>0</v>
      </c>
      <c r="W58" s="165">
        <f t="shared" si="53"/>
        <v>0</v>
      </c>
      <c r="X58" s="165">
        <f t="shared" si="54"/>
        <v>0</v>
      </c>
      <c r="Y58" s="165">
        <f t="shared" si="40"/>
        <v>0</v>
      </c>
      <c r="Z58" s="165">
        <f t="shared" si="55"/>
        <v>0</v>
      </c>
      <c r="AA58" s="165">
        <f t="shared" si="56"/>
        <v>0</v>
      </c>
      <c r="AB58" s="165">
        <f t="shared" si="42"/>
        <v>0</v>
      </c>
      <c r="AC58" s="165">
        <f t="shared" si="57"/>
        <v>0</v>
      </c>
      <c r="AD58" s="165">
        <f t="shared" si="33"/>
        <v>947.52455999999995</v>
      </c>
      <c r="AE58" s="128"/>
    </row>
    <row r="59" spans="1:31">
      <c r="A59" s="165">
        <f t="shared" si="34"/>
        <v>52</v>
      </c>
      <c r="B59" s="166">
        <f t="shared" si="58"/>
        <v>43825</v>
      </c>
      <c r="C59" s="165">
        <f t="shared" si="59"/>
        <v>12</v>
      </c>
      <c r="D59" s="167" t="str">
        <f>IF(C59=C60,"no","Si")</f>
        <v>Si</v>
      </c>
      <c r="E59" s="168">
        <v>7</v>
      </c>
      <c r="F59" s="168">
        <f t="shared" si="37"/>
        <v>130</v>
      </c>
      <c r="G59" s="165">
        <f t="shared" si="61"/>
        <v>910</v>
      </c>
      <c r="H59" s="168"/>
      <c r="I59" s="165">
        <f t="shared" si="62"/>
        <v>910</v>
      </c>
      <c r="J59" s="165">
        <f t="shared" si="63"/>
        <v>3640</v>
      </c>
      <c r="K59" s="165">
        <f t="shared" si="43"/>
        <v>50.535440000000001</v>
      </c>
      <c r="L59" s="165">
        <f t="shared" si="44"/>
        <v>88.06</v>
      </c>
      <c r="M59" s="165">
        <f t="shared" si="19"/>
        <v>352.24</v>
      </c>
      <c r="N59" s="165">
        <f t="shared" si="45"/>
        <v>88.06</v>
      </c>
      <c r="O59" s="165">
        <f t="shared" si="46"/>
        <v>0</v>
      </c>
      <c r="P59" s="165">
        <f t="shared" si="21"/>
        <v>37.524560000000001</v>
      </c>
      <c r="Q59" s="165">
        <f t="shared" si="47"/>
        <v>37.524560000000001</v>
      </c>
      <c r="R59" s="165">
        <f t="shared" si="48"/>
        <v>199.53279999999998</v>
      </c>
      <c r="S59" s="165">
        <f t="shared" si="49"/>
        <v>382.46</v>
      </c>
      <c r="T59" s="165">
        <f t="shared" si="50"/>
        <v>0</v>
      </c>
      <c r="U59" s="165">
        <f t="shared" si="51"/>
        <v>182.9272</v>
      </c>
      <c r="V59" s="165">
        <f t="shared" si="52"/>
        <v>0</v>
      </c>
      <c r="W59" s="165">
        <f t="shared" si="53"/>
        <v>30.21999999999997</v>
      </c>
      <c r="X59" s="165">
        <f t="shared" si="54"/>
        <v>0</v>
      </c>
      <c r="Y59" s="165">
        <f t="shared" si="40"/>
        <v>0</v>
      </c>
      <c r="Z59" s="165">
        <f t="shared" si="55"/>
        <v>0</v>
      </c>
      <c r="AA59" s="165">
        <f t="shared" si="56"/>
        <v>0</v>
      </c>
      <c r="AB59" s="165">
        <f t="shared" si="42"/>
        <v>0</v>
      </c>
      <c r="AC59" s="165">
        <f t="shared" si="57"/>
        <v>32.828959999999995</v>
      </c>
      <c r="AD59" s="165">
        <f t="shared" si="33"/>
        <v>980.35351999999989</v>
      </c>
      <c r="AE59" s="128"/>
    </row>
    <row r="60" spans="1:31">
      <c r="A60" s="165">
        <f t="shared" ref="A60" si="64">+A59+1</f>
        <v>53</v>
      </c>
      <c r="B60" s="166">
        <f t="shared" si="58"/>
        <v>43832</v>
      </c>
      <c r="C60" s="165"/>
      <c r="D60" s="167" t="str">
        <f>IF(C60=C61,"no","Si")</f>
        <v>no</v>
      </c>
      <c r="E60" s="168">
        <v>7</v>
      </c>
      <c r="F60" s="168">
        <f t="shared" si="37"/>
        <v>130</v>
      </c>
      <c r="G60" s="165">
        <f t="shared" ref="G60" si="65">+F60*E60</f>
        <v>910</v>
      </c>
      <c r="H60" s="168"/>
      <c r="I60" s="165">
        <f t="shared" ref="I60" si="66">+G60+H60</f>
        <v>910</v>
      </c>
      <c r="J60" s="165">
        <f>IF(D59="si",I60,+I60+J59)</f>
        <v>910</v>
      </c>
      <c r="K60" s="165">
        <f t="shared" si="43"/>
        <v>50.535440000000001</v>
      </c>
      <c r="L60" s="165">
        <f t="shared" si="44"/>
        <v>88.06</v>
      </c>
      <c r="M60" s="165"/>
      <c r="N60" s="165"/>
      <c r="O60" s="165">
        <f>IF(I60&lt;=(SalarioMinimo*E60),0,MAX(0,K60-N60))</f>
        <v>0</v>
      </c>
      <c r="P60" s="165">
        <f t="shared" si="21"/>
        <v>0</v>
      </c>
      <c r="Q60" s="165">
        <f t="shared" si="47"/>
        <v>0</v>
      </c>
      <c r="R60" s="165">
        <f t="shared" si="48"/>
        <v>0</v>
      </c>
      <c r="S60" s="165">
        <f t="shared" si="49"/>
        <v>0</v>
      </c>
      <c r="T60" s="165">
        <f t="shared" si="50"/>
        <v>0</v>
      </c>
      <c r="U60" s="165">
        <f t="shared" si="51"/>
        <v>0</v>
      </c>
      <c r="V60" s="165">
        <f t="shared" si="52"/>
        <v>0</v>
      </c>
      <c r="W60" s="165">
        <f t="shared" si="53"/>
        <v>0</v>
      </c>
      <c r="X60" s="165">
        <f t="shared" si="54"/>
        <v>0</v>
      </c>
      <c r="Y60" s="165">
        <f t="shared" si="40"/>
        <v>0</v>
      </c>
      <c r="Z60" s="165">
        <f t="shared" si="55"/>
        <v>0</v>
      </c>
      <c r="AA60" s="165">
        <f t="shared" si="56"/>
        <v>0</v>
      </c>
      <c r="AB60" s="165">
        <f t="shared" si="42"/>
        <v>0</v>
      </c>
      <c r="AC60" s="165">
        <f t="shared" si="57"/>
        <v>0</v>
      </c>
      <c r="AD60" s="165">
        <f t="shared" si="33"/>
        <v>910</v>
      </c>
      <c r="AE60" s="128"/>
    </row>
    <row r="61" spans="1:31">
      <c r="B61" s="169"/>
      <c r="D61" s="122"/>
      <c r="E61" s="170"/>
      <c r="F61" s="170"/>
      <c r="H61" s="170"/>
    </row>
    <row r="62" spans="1:31">
      <c r="B62" s="169"/>
      <c r="D62" s="122"/>
      <c r="E62" s="170"/>
      <c r="F62" s="170"/>
      <c r="H62" s="170"/>
    </row>
  </sheetData>
  <sheetProtection algorithmName="SHA-512" hashValue="p7KkcSEQZ8/hQwmn11c79dbuDvITDuQtcVZgyrr9kslxR4H1KRiSC5FPx6BT6dWe02qExEMInlLoLnazmJKF5A==" saltValue="XHvfYLNAB5QUTyb6WW7HRg==" spinCount="100000" sheet="1" objects="1" scenarios="1"/>
  <autoFilter ref="A7:AD60" xr:uid="{51EE3853-4F2A-49B6-9E5F-D0D4419AD177}"/>
  <dataValidations count="1">
    <dataValidation type="list" allowBlank="1" showInputMessage="1" showErrorMessage="1" sqref="C3:C5" xr:uid="{B5FF5A17-767A-4BAB-8FCA-7BCBA44F5FDE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09837-F10C-4203-9856-0F5B7591F281}">
  <dimension ref="A2:H18"/>
  <sheetViews>
    <sheetView showGridLines="0" zoomScaleNormal="100" workbookViewId="0"/>
  </sheetViews>
  <sheetFormatPr baseColWidth="10" defaultColWidth="10.7109375" defaultRowHeight="16"/>
  <cols>
    <col min="1" max="1" width="13.5703125" style="1" customWidth="1"/>
    <col min="2" max="2" width="16.140625" style="1" customWidth="1"/>
    <col min="3" max="3" width="36" style="1" customWidth="1"/>
    <col min="4" max="4" width="16.85546875" style="1" customWidth="1"/>
    <col min="5" max="16384" width="10.7109375" style="1"/>
  </cols>
  <sheetData>
    <row r="2" spans="1:8" ht="18">
      <c r="A2" s="108" t="s">
        <v>145</v>
      </c>
    </row>
    <row r="5" spans="1:8">
      <c r="A5" s="109" t="s">
        <v>130</v>
      </c>
      <c r="B5" s="109" t="s">
        <v>127</v>
      </c>
      <c r="C5" s="109" t="s">
        <v>67</v>
      </c>
      <c r="D5" s="64" t="s">
        <v>68</v>
      </c>
      <c r="F5" s="110"/>
      <c r="H5" s="110"/>
    </row>
    <row r="6" spans="1:8">
      <c r="A6" s="111" t="s">
        <v>46</v>
      </c>
      <c r="B6" s="111" t="s">
        <v>47</v>
      </c>
      <c r="C6" s="111" t="s">
        <v>129</v>
      </c>
      <c r="D6" s="112">
        <f>'Cálculo semanal detallado anual'!I4</f>
        <v>55320</v>
      </c>
    </row>
    <row r="7" spans="1:8">
      <c r="A7" s="111"/>
      <c r="B7" s="111"/>
      <c r="C7" s="111" t="s">
        <v>69</v>
      </c>
      <c r="D7" s="112">
        <f>(D6-VLOOKUP(D6,Anual,1))*VLOOKUP(D6,Anual,3)+VLOOKUP(D6,Anual,2)</f>
        <v>3139.4</v>
      </c>
    </row>
    <row r="8" spans="1:8">
      <c r="A8" s="113"/>
      <c r="B8" s="113" t="s">
        <v>105</v>
      </c>
      <c r="C8" s="113" t="s">
        <v>62</v>
      </c>
      <c r="D8" s="114">
        <f>'Cálculo semanal detallado anual'!N4</f>
        <v>3968.6699999999983</v>
      </c>
    </row>
    <row r="9" spans="1:8">
      <c r="A9" s="115"/>
      <c r="B9" s="115" t="s">
        <v>105</v>
      </c>
      <c r="C9" s="115" t="s">
        <v>118</v>
      </c>
      <c r="D9" s="116">
        <f>'Cálculo semanal detallado anual'!W4</f>
        <v>211.53999999999979</v>
      </c>
    </row>
    <row r="10" spans="1:8">
      <c r="A10" s="117" t="s">
        <v>42</v>
      </c>
      <c r="B10" s="118" t="s">
        <v>102</v>
      </c>
      <c r="C10" s="117" t="s">
        <v>120</v>
      </c>
      <c r="D10" s="116">
        <f>'Cálculo semanal detallado anual'!V4</f>
        <v>440.3</v>
      </c>
    </row>
    <row r="11" spans="1:8">
      <c r="A11" s="119"/>
      <c r="B11" s="119"/>
      <c r="C11" s="119" t="s">
        <v>108</v>
      </c>
      <c r="D11" s="120">
        <f>D8+D9-D10</f>
        <v>3739.909999999998</v>
      </c>
    </row>
    <row r="12" spans="1:8">
      <c r="A12" s="111"/>
      <c r="B12" s="111"/>
      <c r="C12" s="111" t="s">
        <v>70</v>
      </c>
      <c r="D12" s="112">
        <f>MAX(0,D7-D11)</f>
        <v>0</v>
      </c>
    </row>
    <row r="13" spans="1:8" ht="14.25" customHeight="1">
      <c r="A13" s="113" t="s">
        <v>42</v>
      </c>
      <c r="B13" s="121" t="s">
        <v>40</v>
      </c>
      <c r="C13" s="113" t="s">
        <v>48</v>
      </c>
      <c r="D13" s="114">
        <f>'Cálculo semanal detallado anual'!O4</f>
        <v>1329.3585439999999</v>
      </c>
    </row>
    <row r="14" spans="1:8">
      <c r="A14" s="115" t="s">
        <v>42</v>
      </c>
      <c r="B14" s="121" t="s">
        <v>40</v>
      </c>
      <c r="C14" s="115" t="s">
        <v>148</v>
      </c>
      <c r="D14" s="116">
        <f>'Cálculo semanal detallado anual'!X4</f>
        <v>252.67720000000003</v>
      </c>
    </row>
    <row r="15" spans="1:8">
      <c r="A15" s="117" t="s">
        <v>131</v>
      </c>
      <c r="B15" s="118" t="s">
        <v>39</v>
      </c>
      <c r="C15" s="117" t="s">
        <v>116</v>
      </c>
      <c r="D15" s="116">
        <f>'Cálculo semanal detallado anual'!Z4</f>
        <v>454.7600000000001</v>
      </c>
    </row>
    <row r="16" spans="1:8">
      <c r="A16" s="119"/>
      <c r="B16" s="119"/>
      <c r="C16" s="119" t="s">
        <v>104</v>
      </c>
      <c r="D16" s="120">
        <f>D13+D14-D15</f>
        <v>1127.275744</v>
      </c>
    </row>
    <row r="17" spans="1:4">
      <c r="A17" s="113"/>
      <c r="B17" s="113"/>
      <c r="C17" s="113" t="s">
        <v>72</v>
      </c>
      <c r="D17" s="114">
        <f>MAX(0,D12-D16)</f>
        <v>0</v>
      </c>
    </row>
    <row r="18" spans="1:4">
      <c r="A18" s="119"/>
      <c r="B18" s="119"/>
      <c r="C18" s="119" t="s">
        <v>71</v>
      </c>
      <c r="D18" s="120">
        <f>MAX(0,D16-D12)</f>
        <v>1127.275744</v>
      </c>
    </row>
  </sheetData>
  <sheetProtection algorithmName="SHA-512" hashValue="WvHCIUX83nQ6psdzD27h/XSB79Vjc7N90sZIIOeYCCi4rDNJJ17r4vVTUfnJHt41j6E1LYhux6nNDAG6wa7/Ug==" saltValue="Am8f2sbIPKh+m4h4iy8s5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1:R75"/>
  <sheetViews>
    <sheetView showGridLines="0" tabSelected="1" zoomScaleNormal="100" workbookViewId="0">
      <selection activeCell="B53" sqref="B53"/>
    </sheetView>
  </sheetViews>
  <sheetFormatPr baseColWidth="10" defaultColWidth="12.7109375" defaultRowHeight="16"/>
  <cols>
    <col min="1" max="1" width="8.5703125" style="1" customWidth="1"/>
    <col min="2" max="3" width="11.7109375" style="1" customWidth="1"/>
    <col min="4" max="4" width="14.140625" style="1" customWidth="1"/>
    <col min="5" max="5" width="10.7109375" style="1" customWidth="1"/>
    <col min="6" max="9" width="12.7109375" style="1"/>
    <col min="10" max="10" width="4.7109375" style="1" customWidth="1"/>
    <col min="11" max="14" width="12.7109375" style="1"/>
    <col min="15" max="15" width="5.28515625" style="1" customWidth="1"/>
    <col min="16" max="16384" width="12.7109375" style="1"/>
  </cols>
  <sheetData>
    <row r="1" spans="1:18">
      <c r="A1" s="23"/>
      <c r="B1" s="23"/>
      <c r="C1" s="23"/>
      <c r="D1" s="23"/>
      <c r="E1" s="2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23"/>
      <c r="B2" s="24"/>
      <c r="C2" s="4"/>
      <c r="D2" s="4"/>
      <c r="E2" s="2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23"/>
      <c r="B3" s="13"/>
      <c r="C3" s="65"/>
      <c r="D3" s="66">
        <v>10031.08</v>
      </c>
      <c r="E3" s="13"/>
      <c r="F3" s="4"/>
      <c r="G3" s="4"/>
      <c r="H3" s="4"/>
      <c r="I3" s="4"/>
      <c r="J3" s="4"/>
      <c r="K3" s="4" t="s">
        <v>18</v>
      </c>
      <c r="L3" s="4"/>
      <c r="M3" s="74">
        <v>2978.65</v>
      </c>
      <c r="N3" s="4"/>
      <c r="O3" s="4"/>
      <c r="P3" s="4"/>
      <c r="Q3" s="4"/>
      <c r="R3" s="74">
        <v>5514.76</v>
      </c>
    </row>
    <row r="4" spans="1:18">
      <c r="A4" s="23"/>
      <c r="B4" s="25" t="s">
        <v>27</v>
      </c>
      <c r="C4" s="65"/>
      <c r="D4" s="65">
        <v>1</v>
      </c>
      <c r="E4" s="13"/>
      <c r="F4" s="4" t="s">
        <v>55</v>
      </c>
      <c r="G4" s="4"/>
      <c r="H4" s="4"/>
      <c r="I4" s="4"/>
      <c r="J4" s="4"/>
      <c r="K4" s="25" t="s">
        <v>29</v>
      </c>
      <c r="L4" s="4"/>
      <c r="M4" s="75">
        <v>0.23026315789473684</v>
      </c>
      <c r="N4" s="4"/>
      <c r="O4" s="4"/>
      <c r="P4" s="25" t="s">
        <v>132</v>
      </c>
      <c r="Q4" s="4"/>
      <c r="R4" s="75">
        <v>0.49342144614538019</v>
      </c>
    </row>
    <row r="5" spans="1:18" ht="28">
      <c r="A5" s="23"/>
      <c r="B5" s="26" t="s">
        <v>1</v>
      </c>
      <c r="C5" s="26" t="s">
        <v>2</v>
      </c>
      <c r="D5" s="26" t="s">
        <v>0</v>
      </c>
      <c r="E5" s="6"/>
      <c r="F5" s="27"/>
      <c r="G5" s="28" t="s">
        <v>19</v>
      </c>
      <c r="H5" s="29" t="s">
        <v>20</v>
      </c>
      <c r="I5" s="6"/>
      <c r="J5" s="4"/>
      <c r="K5" s="64" t="s">
        <v>1</v>
      </c>
      <c r="L5" s="26" t="s">
        <v>2</v>
      </c>
      <c r="M5" s="26" t="s">
        <v>0</v>
      </c>
      <c r="N5" s="6"/>
      <c r="O5" s="4"/>
      <c r="P5" s="26" t="s">
        <v>1</v>
      </c>
      <c r="Q5" s="26" t="s">
        <v>2</v>
      </c>
      <c r="R5" s="26" t="s">
        <v>0</v>
      </c>
    </row>
    <row r="6" spans="1:18">
      <c r="A6" s="30">
        <v>1</v>
      </c>
      <c r="B6" s="31">
        <v>0</v>
      </c>
      <c r="C6" s="67">
        <v>0</v>
      </c>
      <c r="D6" s="68">
        <v>1.9199999999999998E-2</v>
      </c>
      <c r="E6" s="32"/>
      <c r="F6" s="33" t="s">
        <v>15</v>
      </c>
      <c r="G6" s="4">
        <v>12935.83</v>
      </c>
      <c r="H6" s="34">
        <v>3537.88</v>
      </c>
      <c r="I6" s="6"/>
      <c r="J6" s="30">
        <v>1</v>
      </c>
      <c r="K6" s="31">
        <v>0</v>
      </c>
      <c r="L6" s="67">
        <v>0</v>
      </c>
      <c r="M6" s="68">
        <v>1.9199999999999998E-2</v>
      </c>
      <c r="N6" s="63"/>
      <c r="O6" s="30">
        <v>1</v>
      </c>
      <c r="P6" s="31">
        <v>0.01</v>
      </c>
      <c r="Q6" s="67">
        <v>0</v>
      </c>
      <c r="R6" s="68">
        <v>1.9199999999999998E-2</v>
      </c>
    </row>
    <row r="7" spans="1:18">
      <c r="A7" s="35">
        <v>2</v>
      </c>
      <c r="B7" s="36">
        <v>746.05</v>
      </c>
      <c r="C7" s="69">
        <v>14.32</v>
      </c>
      <c r="D7" s="70">
        <v>6.4000000000000001E-2</v>
      </c>
      <c r="E7" s="32"/>
      <c r="F7" s="33" t="s">
        <v>16</v>
      </c>
      <c r="G7" s="4">
        <v>6382.81</v>
      </c>
      <c r="H7" s="34">
        <v>1745.6644736842106</v>
      </c>
      <c r="I7" s="6"/>
      <c r="J7" s="35">
        <v>2</v>
      </c>
      <c r="K7" s="31">
        <v>171.79</v>
      </c>
      <c r="L7" s="67">
        <v>3.29</v>
      </c>
      <c r="M7" s="70">
        <v>6.4000000000000001E-2</v>
      </c>
      <c r="N7" s="63"/>
      <c r="O7" s="35">
        <v>2</v>
      </c>
      <c r="P7" s="31">
        <v>368.11</v>
      </c>
      <c r="Q7" s="67">
        <v>7.05</v>
      </c>
      <c r="R7" s="70">
        <v>6.4000000000000001E-2</v>
      </c>
    </row>
    <row r="8" spans="1:18">
      <c r="A8" s="35">
        <v>3</v>
      </c>
      <c r="B8" s="36">
        <v>6332.06</v>
      </c>
      <c r="C8" s="69">
        <v>371.83</v>
      </c>
      <c r="D8" s="70">
        <v>0.10880000000000001</v>
      </c>
      <c r="E8" s="32"/>
      <c r="F8" s="33" t="s">
        <v>17</v>
      </c>
      <c r="G8" s="4">
        <v>4255.21</v>
      </c>
      <c r="H8" s="34">
        <v>1163.7763157894738</v>
      </c>
      <c r="I8" s="4"/>
      <c r="J8" s="35">
        <v>3</v>
      </c>
      <c r="K8" s="31">
        <v>1458.04</v>
      </c>
      <c r="L8" s="67">
        <v>85.61</v>
      </c>
      <c r="M8" s="70">
        <v>0.10880000000000001</v>
      </c>
      <c r="N8" s="63"/>
      <c r="O8" s="35">
        <v>3</v>
      </c>
      <c r="P8" s="31">
        <v>3124.36</v>
      </c>
      <c r="Q8" s="67">
        <v>183.45</v>
      </c>
      <c r="R8" s="70">
        <v>0.10880000000000001</v>
      </c>
    </row>
    <row r="9" spans="1:18">
      <c r="A9" s="35">
        <v>4</v>
      </c>
      <c r="B9" s="36">
        <v>11128.02</v>
      </c>
      <c r="C9" s="69">
        <v>893.63</v>
      </c>
      <c r="D9" s="70">
        <v>0.16</v>
      </c>
      <c r="E9" s="32"/>
      <c r="F9" s="33" t="s">
        <v>18</v>
      </c>
      <c r="G9" s="4">
        <v>2978.65</v>
      </c>
      <c r="H9" s="34">
        <v>814.64342105263165</v>
      </c>
      <c r="I9" s="4"/>
      <c r="J9" s="35">
        <v>4</v>
      </c>
      <c r="K9" s="31">
        <v>2562.36</v>
      </c>
      <c r="L9" s="67">
        <v>205.8</v>
      </c>
      <c r="M9" s="70">
        <v>0.16</v>
      </c>
      <c r="N9" s="63"/>
      <c r="O9" s="35">
        <v>4</v>
      </c>
      <c r="P9" s="31">
        <v>5490.76</v>
      </c>
      <c r="Q9" s="67">
        <v>441</v>
      </c>
      <c r="R9" s="70">
        <v>0.16</v>
      </c>
    </row>
    <row r="10" spans="1:18">
      <c r="A10" s="35">
        <v>5</v>
      </c>
      <c r="B10" s="36">
        <v>12935.83</v>
      </c>
      <c r="C10" s="69">
        <v>1182.8800000000001</v>
      </c>
      <c r="D10" s="70">
        <v>0.17920000000000003</v>
      </c>
      <c r="E10" s="32"/>
      <c r="F10" s="37">
        <v>30.4</v>
      </c>
      <c r="G10" s="38">
        <v>12935.83</v>
      </c>
      <c r="H10" s="39">
        <v>3537.88</v>
      </c>
      <c r="I10" s="4"/>
      <c r="J10" s="35">
        <v>5</v>
      </c>
      <c r="K10" s="31">
        <v>2978.65</v>
      </c>
      <c r="L10" s="67">
        <v>272.37</v>
      </c>
      <c r="M10" s="70">
        <v>0.17920000000000003</v>
      </c>
      <c r="N10" s="63"/>
      <c r="O10" s="35">
        <v>5</v>
      </c>
      <c r="P10" s="31">
        <v>6382.81</v>
      </c>
      <c r="Q10" s="67">
        <v>583.65</v>
      </c>
      <c r="R10" s="70">
        <v>0.17920000000000003</v>
      </c>
    </row>
    <row r="11" spans="1:18">
      <c r="A11" s="35">
        <v>6</v>
      </c>
      <c r="B11" s="36">
        <v>15487.72</v>
      </c>
      <c r="C11" s="69">
        <v>1640.18</v>
      </c>
      <c r="D11" s="70">
        <v>0.21359999999999998</v>
      </c>
      <c r="E11" s="32"/>
      <c r="F11" s="4"/>
      <c r="G11" s="4"/>
      <c r="H11" s="4"/>
      <c r="I11" s="4"/>
      <c r="J11" s="35">
        <v>6</v>
      </c>
      <c r="K11" s="31">
        <v>3566.23</v>
      </c>
      <c r="L11" s="67">
        <v>377.65</v>
      </c>
      <c r="M11" s="70">
        <v>0.21359999999999998</v>
      </c>
      <c r="N11" s="63"/>
      <c r="O11" s="35">
        <v>6</v>
      </c>
      <c r="P11" s="31">
        <v>7641.91</v>
      </c>
      <c r="Q11" s="67">
        <v>809.25</v>
      </c>
      <c r="R11" s="70">
        <v>0.21359999999999998</v>
      </c>
    </row>
    <row r="12" spans="1:18">
      <c r="A12" s="35">
        <v>7</v>
      </c>
      <c r="B12" s="36">
        <v>31236.5</v>
      </c>
      <c r="C12" s="69">
        <v>5004.12</v>
      </c>
      <c r="D12" s="70">
        <v>0.23519999999999999</v>
      </c>
      <c r="E12" s="32"/>
      <c r="F12" s="4"/>
      <c r="G12" s="4"/>
      <c r="H12" s="4"/>
      <c r="I12" s="4"/>
      <c r="J12" s="35">
        <v>7</v>
      </c>
      <c r="K12" s="31">
        <v>7192.65</v>
      </c>
      <c r="L12" s="67">
        <v>1152.27</v>
      </c>
      <c r="M12" s="70">
        <v>0.23519999999999999</v>
      </c>
      <c r="N12" s="63"/>
      <c r="O12" s="35">
        <v>7</v>
      </c>
      <c r="P12" s="31">
        <v>15412.81</v>
      </c>
      <c r="Q12" s="67">
        <v>2469.15</v>
      </c>
      <c r="R12" s="70">
        <v>0.23519999999999999</v>
      </c>
    </row>
    <row r="13" spans="1:18">
      <c r="A13" s="35">
        <v>8</v>
      </c>
      <c r="B13" s="36">
        <v>49233.01</v>
      </c>
      <c r="C13" s="69">
        <v>9236.89</v>
      </c>
      <c r="D13" s="70">
        <v>0.3</v>
      </c>
      <c r="E13" s="32"/>
      <c r="F13" s="4"/>
      <c r="G13" s="4"/>
      <c r="H13" s="4"/>
      <c r="I13" s="4"/>
      <c r="J13" s="35">
        <v>8</v>
      </c>
      <c r="K13" s="31">
        <v>11336.58</v>
      </c>
      <c r="L13" s="67">
        <v>2126.9499999999998</v>
      </c>
      <c r="M13" s="70">
        <v>0.3</v>
      </c>
      <c r="N13" s="63"/>
      <c r="O13" s="35">
        <v>8</v>
      </c>
      <c r="P13" s="31">
        <v>24292.66</v>
      </c>
      <c r="Q13" s="67">
        <v>4557.75</v>
      </c>
      <c r="R13" s="70">
        <v>0.3</v>
      </c>
    </row>
    <row r="14" spans="1:18">
      <c r="A14" s="35">
        <v>9</v>
      </c>
      <c r="B14" s="36">
        <v>93993.91</v>
      </c>
      <c r="C14" s="69">
        <v>22665.17</v>
      </c>
      <c r="D14" s="70">
        <v>0.32</v>
      </c>
      <c r="E14" s="4"/>
      <c r="F14" s="4"/>
      <c r="G14" s="4"/>
      <c r="H14" s="4"/>
      <c r="I14" s="4"/>
      <c r="J14" s="35">
        <v>9</v>
      </c>
      <c r="K14" s="31">
        <v>21643.31</v>
      </c>
      <c r="L14" s="67">
        <v>5218.92</v>
      </c>
      <c r="M14" s="70">
        <v>0.32</v>
      </c>
      <c r="N14" s="63"/>
      <c r="O14" s="35">
        <v>9</v>
      </c>
      <c r="P14" s="31">
        <v>46378.51</v>
      </c>
      <c r="Q14" s="67">
        <v>11183.4</v>
      </c>
      <c r="R14" s="70">
        <v>0.32</v>
      </c>
    </row>
    <row r="15" spans="1:18">
      <c r="A15" s="35">
        <v>10</v>
      </c>
      <c r="B15" s="36">
        <v>125325.21</v>
      </c>
      <c r="C15" s="69">
        <v>32691.18</v>
      </c>
      <c r="D15" s="70">
        <v>0.34</v>
      </c>
      <c r="E15" s="4"/>
      <c r="F15" s="4"/>
      <c r="G15" s="4"/>
      <c r="H15" s="4"/>
      <c r="I15" s="4"/>
      <c r="J15" s="35">
        <v>10</v>
      </c>
      <c r="K15" s="31">
        <v>28857.79</v>
      </c>
      <c r="L15" s="67">
        <v>7527.59</v>
      </c>
      <c r="M15" s="70">
        <v>0.34</v>
      </c>
      <c r="N15" s="63"/>
      <c r="O15" s="35">
        <v>10</v>
      </c>
      <c r="P15" s="31">
        <v>61838.11</v>
      </c>
      <c r="Q15" s="67">
        <v>16130.55</v>
      </c>
      <c r="R15" s="70">
        <v>0.34</v>
      </c>
    </row>
    <row r="16" spans="1:18">
      <c r="A16" s="40">
        <v>11</v>
      </c>
      <c r="B16" s="41">
        <v>375975.62</v>
      </c>
      <c r="C16" s="71">
        <v>117912.32000000001</v>
      </c>
      <c r="D16" s="72">
        <v>0.35</v>
      </c>
      <c r="E16" s="4"/>
      <c r="F16" s="4"/>
      <c r="G16" s="4"/>
      <c r="H16" s="4"/>
      <c r="I16" s="4"/>
      <c r="J16" s="40">
        <v>11</v>
      </c>
      <c r="K16" s="31">
        <v>86573.35</v>
      </c>
      <c r="L16" s="67">
        <v>27150.83</v>
      </c>
      <c r="M16" s="72">
        <v>0.35</v>
      </c>
      <c r="N16" s="63"/>
      <c r="O16" s="40">
        <v>11</v>
      </c>
      <c r="P16" s="31">
        <v>185514.31</v>
      </c>
      <c r="Q16" s="67">
        <v>58180.35</v>
      </c>
      <c r="R16" s="72">
        <v>0.35</v>
      </c>
    </row>
    <row r="17" spans="1:1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4"/>
      <c r="C19" s="4">
        <v>3537.88</v>
      </c>
      <c r="D19" s="4"/>
      <c r="E19" s="4"/>
      <c r="F19" s="4"/>
      <c r="G19" s="4"/>
      <c r="H19" s="4"/>
      <c r="I19" s="4"/>
      <c r="J19" s="4"/>
      <c r="K19" s="4" t="s">
        <v>18</v>
      </c>
      <c r="L19" s="4">
        <v>814.64342105263165</v>
      </c>
      <c r="M19" s="4"/>
      <c r="N19" s="4"/>
      <c r="O19" s="4"/>
      <c r="P19" s="4"/>
      <c r="Q19" s="4">
        <v>1745.66</v>
      </c>
      <c r="R19" s="4"/>
    </row>
    <row r="20" spans="1:18">
      <c r="A20" s="4"/>
      <c r="B20" s="42" t="s">
        <v>28</v>
      </c>
      <c r="C20" s="4">
        <v>1</v>
      </c>
      <c r="D20" s="4"/>
      <c r="E20" s="4"/>
      <c r="F20" s="4"/>
      <c r="G20" s="4"/>
      <c r="H20" s="4"/>
      <c r="I20" s="4"/>
      <c r="J20" s="4"/>
      <c r="K20" s="42" t="s">
        <v>30</v>
      </c>
      <c r="L20" s="76">
        <v>0.23026315789473686</v>
      </c>
      <c r="M20" s="4"/>
      <c r="N20" s="4"/>
      <c r="O20" s="4"/>
      <c r="P20" s="42" t="s">
        <v>133</v>
      </c>
      <c r="Q20" s="76">
        <v>0.49341978812170001</v>
      </c>
      <c r="R20" s="4"/>
    </row>
    <row r="21" spans="1:18">
      <c r="A21" s="4"/>
      <c r="B21" s="6" t="s">
        <v>3</v>
      </c>
      <c r="C21" s="6" t="s">
        <v>4</v>
      </c>
      <c r="D21" s="4"/>
      <c r="E21" s="4"/>
      <c r="F21" s="4"/>
      <c r="G21" s="4"/>
      <c r="H21" s="4"/>
      <c r="I21" s="4"/>
      <c r="J21" s="4"/>
      <c r="K21" s="64" t="s">
        <v>3</v>
      </c>
      <c r="L21" s="64" t="s">
        <v>4</v>
      </c>
      <c r="M21" s="4"/>
      <c r="N21" s="4"/>
      <c r="O21" s="4"/>
      <c r="P21" s="26" t="s">
        <v>3</v>
      </c>
      <c r="Q21" s="26" t="s">
        <v>4</v>
      </c>
      <c r="R21" s="4"/>
    </row>
    <row r="22" spans="1:18">
      <c r="A22" s="44">
        <v>1</v>
      </c>
      <c r="B22" s="45">
        <v>0</v>
      </c>
      <c r="C22" s="73">
        <v>407.02</v>
      </c>
      <c r="D22" s="4"/>
      <c r="E22" s="4"/>
      <c r="F22" s="4"/>
      <c r="G22" s="4"/>
      <c r="H22" s="4"/>
      <c r="I22" s="4"/>
      <c r="J22" s="44">
        <v>1</v>
      </c>
      <c r="K22" s="45">
        <v>0.01</v>
      </c>
      <c r="L22" s="73">
        <v>93.73</v>
      </c>
      <c r="M22" s="4"/>
      <c r="N22" s="4"/>
      <c r="O22" s="44">
        <v>1</v>
      </c>
      <c r="P22" s="27">
        <v>0.01</v>
      </c>
      <c r="Q22" s="73">
        <v>200.85</v>
      </c>
      <c r="R22" s="4"/>
    </row>
    <row r="23" spans="1:18">
      <c r="A23" s="46">
        <v>2</v>
      </c>
      <c r="B23" s="4">
        <v>1768.97</v>
      </c>
      <c r="C23" s="34">
        <v>406.83</v>
      </c>
      <c r="D23" s="4"/>
      <c r="E23" s="4"/>
      <c r="F23" s="4"/>
      <c r="G23" s="4"/>
      <c r="H23" s="4"/>
      <c r="I23" s="4"/>
      <c r="J23" s="46">
        <v>2</v>
      </c>
      <c r="K23" s="45">
        <v>407.34</v>
      </c>
      <c r="L23" s="73">
        <v>93.66</v>
      </c>
      <c r="M23" s="4"/>
      <c r="N23" s="4"/>
      <c r="O23" s="46">
        <v>2</v>
      </c>
      <c r="P23" s="27">
        <v>872.86</v>
      </c>
      <c r="Q23" s="73">
        <v>200.7</v>
      </c>
      <c r="R23" s="4"/>
    </row>
    <row r="24" spans="1:18">
      <c r="A24" s="46">
        <v>3</v>
      </c>
      <c r="B24" s="4">
        <v>2653.39</v>
      </c>
      <c r="C24" s="34">
        <v>406.62</v>
      </c>
      <c r="D24" s="4"/>
      <c r="E24" s="4"/>
      <c r="F24" s="4"/>
      <c r="G24" s="4"/>
      <c r="H24" s="47"/>
      <c r="I24" s="47"/>
      <c r="J24" s="46">
        <v>3</v>
      </c>
      <c r="K24" s="45">
        <v>610.97</v>
      </c>
      <c r="L24" s="73">
        <v>93.66</v>
      </c>
      <c r="M24" s="4"/>
      <c r="N24" s="4"/>
      <c r="O24" s="46">
        <v>3</v>
      </c>
      <c r="P24" s="27">
        <v>1309.21</v>
      </c>
      <c r="Q24" s="73">
        <v>200.7</v>
      </c>
      <c r="R24" s="4"/>
    </row>
    <row r="25" spans="1:18">
      <c r="A25" s="46">
        <v>4</v>
      </c>
      <c r="B25" s="4">
        <v>3472.85</v>
      </c>
      <c r="C25" s="34">
        <v>392.77</v>
      </c>
      <c r="D25" s="4"/>
      <c r="E25" s="4"/>
      <c r="F25" s="4"/>
      <c r="G25" s="4"/>
      <c r="H25" s="4"/>
      <c r="I25" s="4"/>
      <c r="J25" s="46">
        <v>4</v>
      </c>
      <c r="K25" s="45">
        <v>799.69</v>
      </c>
      <c r="L25" s="73">
        <v>90.44</v>
      </c>
      <c r="M25" s="4"/>
      <c r="N25" s="4"/>
      <c r="O25" s="46">
        <v>4</v>
      </c>
      <c r="P25" s="27">
        <v>1713.61</v>
      </c>
      <c r="Q25" s="73">
        <v>193.8</v>
      </c>
      <c r="R25" s="4"/>
    </row>
    <row r="26" spans="1:18">
      <c r="A26" s="46">
        <v>5</v>
      </c>
      <c r="B26" s="4">
        <v>3537.88</v>
      </c>
      <c r="C26" s="34">
        <v>382.46</v>
      </c>
      <c r="D26" s="4"/>
      <c r="E26" s="4"/>
      <c r="F26" s="4"/>
      <c r="G26" s="4"/>
      <c r="H26" s="4"/>
      <c r="I26" s="4"/>
      <c r="J26" s="46">
        <v>5</v>
      </c>
      <c r="K26" s="45">
        <v>814.67</v>
      </c>
      <c r="L26" s="73">
        <v>88.06</v>
      </c>
      <c r="M26" s="4"/>
      <c r="N26" s="4"/>
      <c r="O26" s="46">
        <v>5</v>
      </c>
      <c r="P26" s="27">
        <v>1745.71</v>
      </c>
      <c r="Q26" s="73">
        <v>188.7</v>
      </c>
      <c r="R26" s="4"/>
    </row>
    <row r="27" spans="1:18">
      <c r="A27" s="46">
        <v>6</v>
      </c>
      <c r="B27" s="4">
        <v>4446.16</v>
      </c>
      <c r="C27" s="34">
        <v>354.23</v>
      </c>
      <c r="D27" s="4"/>
      <c r="E27" s="4"/>
      <c r="F27" s="4"/>
      <c r="G27" s="4"/>
      <c r="H27" s="4"/>
      <c r="I27" s="4"/>
      <c r="J27" s="46">
        <v>6</v>
      </c>
      <c r="K27" s="45">
        <v>1023.76</v>
      </c>
      <c r="L27" s="73">
        <v>81.55</v>
      </c>
      <c r="M27" s="4"/>
      <c r="N27" s="4"/>
      <c r="O27" s="46">
        <v>6</v>
      </c>
      <c r="P27" s="27">
        <v>2193.7600000000002</v>
      </c>
      <c r="Q27" s="73">
        <v>174.75</v>
      </c>
      <c r="R27" s="4"/>
    </row>
    <row r="28" spans="1:18">
      <c r="A28" s="46">
        <v>7</v>
      </c>
      <c r="B28" s="4">
        <v>4717.1899999999996</v>
      </c>
      <c r="C28" s="34">
        <v>324.87</v>
      </c>
      <c r="D28" s="4"/>
      <c r="E28" s="4"/>
      <c r="F28" s="4"/>
      <c r="G28" s="4"/>
      <c r="H28" s="4"/>
      <c r="I28" s="4"/>
      <c r="J28" s="46">
        <v>7</v>
      </c>
      <c r="K28" s="45">
        <v>1086.2</v>
      </c>
      <c r="L28" s="73">
        <v>74.83</v>
      </c>
      <c r="M28" s="4"/>
      <c r="N28" s="4"/>
      <c r="O28" s="46">
        <v>7</v>
      </c>
      <c r="P28" s="27">
        <v>2327.56</v>
      </c>
      <c r="Q28" s="73">
        <v>160.35</v>
      </c>
      <c r="R28" s="4"/>
    </row>
    <row r="29" spans="1:18">
      <c r="A29" s="46">
        <v>8</v>
      </c>
      <c r="B29" s="4">
        <v>5335.43</v>
      </c>
      <c r="C29" s="34">
        <v>294.63</v>
      </c>
      <c r="D29" s="4"/>
      <c r="E29" s="4"/>
      <c r="F29" s="4"/>
      <c r="G29" s="4"/>
      <c r="H29" s="4"/>
      <c r="I29" s="4"/>
      <c r="J29" s="46">
        <v>8</v>
      </c>
      <c r="K29" s="45">
        <v>1228.58</v>
      </c>
      <c r="L29" s="73">
        <v>67.83</v>
      </c>
      <c r="M29" s="4"/>
      <c r="N29" s="4"/>
      <c r="O29" s="46">
        <v>8</v>
      </c>
      <c r="P29" s="27">
        <v>2632.66</v>
      </c>
      <c r="Q29" s="73">
        <v>145.35</v>
      </c>
      <c r="R29" s="4"/>
    </row>
    <row r="30" spans="1:18">
      <c r="A30" s="46">
        <v>9</v>
      </c>
      <c r="B30" s="4">
        <v>6224.68</v>
      </c>
      <c r="C30" s="34">
        <v>253.54</v>
      </c>
      <c r="D30" s="4"/>
      <c r="E30" s="4"/>
      <c r="F30" s="4"/>
      <c r="G30" s="4"/>
      <c r="H30" s="4"/>
      <c r="I30" s="4"/>
      <c r="J30" s="46">
        <v>9</v>
      </c>
      <c r="K30" s="45">
        <v>1433.33</v>
      </c>
      <c r="L30" s="73">
        <v>58.38</v>
      </c>
      <c r="M30" s="4"/>
      <c r="N30" s="4"/>
      <c r="O30" s="46">
        <v>9</v>
      </c>
      <c r="P30" s="27">
        <v>3071.41</v>
      </c>
      <c r="Q30" s="73">
        <v>125.1</v>
      </c>
      <c r="R30" s="4"/>
    </row>
    <row r="31" spans="1:18">
      <c r="A31" s="46">
        <v>10</v>
      </c>
      <c r="B31" s="4">
        <v>7113.91</v>
      </c>
      <c r="C31" s="34">
        <v>217.61</v>
      </c>
      <c r="D31" s="4"/>
      <c r="E31" s="4"/>
      <c r="F31" s="4"/>
      <c r="G31" s="4"/>
      <c r="H31" s="4"/>
      <c r="I31" s="4"/>
      <c r="J31" s="46">
        <v>10</v>
      </c>
      <c r="K31" s="45">
        <v>1638.08</v>
      </c>
      <c r="L31" s="73">
        <v>50.12</v>
      </c>
      <c r="M31" s="4"/>
      <c r="N31" s="4"/>
      <c r="O31" s="46">
        <v>10</v>
      </c>
      <c r="P31" s="27">
        <v>3510.16</v>
      </c>
      <c r="Q31" s="73">
        <v>107.4</v>
      </c>
      <c r="R31" s="4"/>
    </row>
    <row r="32" spans="1:18">
      <c r="A32" s="48">
        <v>11</v>
      </c>
      <c r="B32" s="38">
        <v>7382.34</v>
      </c>
      <c r="C32" s="39">
        <v>0</v>
      </c>
      <c r="D32" s="4"/>
      <c r="E32" s="4"/>
      <c r="F32" s="4"/>
      <c r="G32" s="4"/>
      <c r="H32" s="4"/>
      <c r="I32" s="4"/>
      <c r="J32" s="48">
        <v>11</v>
      </c>
      <c r="K32" s="45">
        <v>1699.89</v>
      </c>
      <c r="L32" s="73">
        <v>0</v>
      </c>
      <c r="M32" s="4"/>
      <c r="N32" s="4"/>
      <c r="O32" s="48">
        <v>11</v>
      </c>
      <c r="P32" s="27">
        <v>3642.61</v>
      </c>
      <c r="Q32" s="73">
        <v>0</v>
      </c>
      <c r="R32" s="4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>
      <c r="A35" s="4"/>
      <c r="B35" s="4"/>
      <c r="C35" s="4"/>
      <c r="D35" s="4"/>
      <c r="E35" s="4"/>
      <c r="F35" s="19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4"/>
      <c r="B36" s="4"/>
      <c r="C36" s="4"/>
      <c r="D36" s="4"/>
      <c r="E36" s="4"/>
      <c r="F36" s="19"/>
      <c r="G36" s="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4"/>
      <c r="F37" s="19"/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4"/>
      <c r="B38" s="4"/>
      <c r="C38" s="4"/>
      <c r="D38" s="4"/>
      <c r="E38" s="4"/>
      <c r="F38" s="19"/>
      <c r="G38" s="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>
      <c r="A40" s="4"/>
      <c r="B40" s="49" t="s">
        <v>13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20" t="s">
        <v>3</v>
      </c>
      <c r="C41" s="20" t="s">
        <v>12</v>
      </c>
      <c r="D41" s="20" t="s">
        <v>11</v>
      </c>
      <c r="E41" s="2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>
        <v>1</v>
      </c>
      <c r="B42" s="21">
        <v>0</v>
      </c>
      <c r="C42" s="21">
        <v>0</v>
      </c>
      <c r="D42" s="22">
        <v>1.9199999999999998E-2</v>
      </c>
      <c r="E42" s="22"/>
      <c r="F42" s="4"/>
      <c r="G42" s="202"/>
      <c r="H42" s="202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7">
      <c r="A43" s="4">
        <v>2</v>
      </c>
      <c r="B43" s="21">
        <v>8952.5</v>
      </c>
      <c r="C43" s="204">
        <v>171.88</v>
      </c>
      <c r="D43" s="22">
        <v>6.4000000000000001E-2</v>
      </c>
      <c r="E43" s="22"/>
      <c r="F43" s="4"/>
      <c r="G43" s="202"/>
      <c r="H43" s="202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7">
      <c r="A44" s="4">
        <v>3</v>
      </c>
      <c r="B44" s="21">
        <v>75984.56</v>
      </c>
      <c r="C44" s="205">
        <v>4461.9399999999996</v>
      </c>
      <c r="D44" s="22">
        <v>0.10880000000000001</v>
      </c>
      <c r="E44" s="22"/>
      <c r="F44" s="4"/>
      <c r="G44" s="202"/>
      <c r="H44" s="202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7">
      <c r="A45" s="4">
        <v>4</v>
      </c>
      <c r="B45" s="21">
        <v>133536.07999999999</v>
      </c>
      <c r="C45" s="205">
        <v>10723.55</v>
      </c>
      <c r="D45" s="22">
        <v>0.16</v>
      </c>
      <c r="E45" s="22"/>
      <c r="F45" s="4"/>
      <c r="G45" s="202"/>
      <c r="H45" s="202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7">
      <c r="A46" s="4">
        <v>5</v>
      </c>
      <c r="B46" s="21">
        <v>155229.81</v>
      </c>
      <c r="C46" s="205">
        <v>14194.54</v>
      </c>
      <c r="D46" s="22">
        <v>0.17920000000000003</v>
      </c>
      <c r="E46" s="22"/>
      <c r="F46" s="4"/>
      <c r="G46" s="202"/>
      <c r="H46" s="202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7">
      <c r="A47" s="4">
        <v>6</v>
      </c>
      <c r="B47" s="21">
        <v>185852.58</v>
      </c>
      <c r="C47" s="205">
        <v>19682.13</v>
      </c>
      <c r="D47" s="22">
        <v>0.21359999999999998</v>
      </c>
      <c r="E47" s="22"/>
      <c r="F47" s="4"/>
      <c r="G47" s="202"/>
      <c r="H47" s="202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7">
      <c r="A48" s="4">
        <v>7</v>
      </c>
      <c r="B48" s="21">
        <v>374837.89</v>
      </c>
      <c r="C48" s="205">
        <v>60049.4</v>
      </c>
      <c r="D48" s="22">
        <v>0.23519999999999999</v>
      </c>
      <c r="E48" s="22"/>
      <c r="F48" s="4"/>
      <c r="G48" s="202"/>
      <c r="H48" s="202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7">
      <c r="A49" s="4">
        <v>8</v>
      </c>
      <c r="B49" s="21">
        <v>590796</v>
      </c>
      <c r="C49" s="205">
        <v>110842.74</v>
      </c>
      <c r="D49" s="22">
        <v>0.3</v>
      </c>
      <c r="E49" s="22"/>
      <c r="F49" s="4"/>
      <c r="G49" s="202"/>
      <c r="H49" s="202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7">
      <c r="A50" s="4">
        <v>9</v>
      </c>
      <c r="B50" s="21">
        <v>1127926.8500000001</v>
      </c>
      <c r="C50" s="205">
        <v>271981.99</v>
      </c>
      <c r="D50" s="22">
        <v>0.32</v>
      </c>
      <c r="E50" s="4"/>
      <c r="F50" s="4"/>
      <c r="G50" s="202"/>
      <c r="H50" s="202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7">
      <c r="A51" s="4">
        <v>10</v>
      </c>
      <c r="B51" s="21">
        <v>1503902.47</v>
      </c>
      <c r="C51" s="205">
        <v>392294.17</v>
      </c>
      <c r="D51" s="22">
        <v>0.34</v>
      </c>
      <c r="E51" s="4"/>
      <c r="F51" s="4"/>
      <c r="G51" s="202"/>
      <c r="H51" s="202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8" thickBot="1">
      <c r="A52" s="4">
        <v>11</v>
      </c>
      <c r="B52" s="21">
        <v>4511707.38</v>
      </c>
      <c r="C52" s="205">
        <v>1414947.85</v>
      </c>
      <c r="D52" s="22">
        <v>0.35</v>
      </c>
      <c r="E52" s="4"/>
      <c r="F52" s="4"/>
      <c r="G52" s="203"/>
      <c r="H52" s="203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7" thickTop="1"/>
    <row r="55" spans="1:18">
      <c r="A55" s="1" t="s">
        <v>166</v>
      </c>
    </row>
    <row r="56" spans="1:18" hidden="1">
      <c r="A56" s="1" t="s">
        <v>75</v>
      </c>
    </row>
    <row r="57" spans="1:18" hidden="1">
      <c r="A57" s="43"/>
      <c r="B57" s="17" t="s">
        <v>21</v>
      </c>
      <c r="C57" s="17" t="s">
        <v>22</v>
      </c>
      <c r="D57" s="17" t="s">
        <v>76</v>
      </c>
    </row>
    <row r="58" spans="1:18" hidden="1">
      <c r="A58" s="4">
        <v>1</v>
      </c>
      <c r="B58" s="18">
        <v>0.01</v>
      </c>
      <c r="C58" s="18">
        <v>21239.157894736843</v>
      </c>
      <c r="D58" s="18">
        <v>4886.917763157895</v>
      </c>
    </row>
    <row r="59" spans="1:18" hidden="1">
      <c r="A59" s="4">
        <v>2</v>
      </c>
      <c r="B59" s="18">
        <v>21239.277960526317</v>
      </c>
      <c r="C59" s="18">
        <v>31858.016447368427</v>
      </c>
      <c r="D59" s="18">
        <v>4884.636513157895</v>
      </c>
    </row>
    <row r="60" spans="1:18" hidden="1">
      <c r="A60" s="4">
        <v>3</v>
      </c>
      <c r="B60" s="18">
        <v>31858.136513157893</v>
      </c>
      <c r="C60" s="18">
        <v>41696.927631578954</v>
      </c>
      <c r="D60" s="18">
        <v>4882.1151315789475</v>
      </c>
    </row>
    <row r="61" spans="1:18" hidden="1">
      <c r="A61" s="4">
        <v>4</v>
      </c>
      <c r="B61" s="18">
        <v>41697.04769736842</v>
      </c>
      <c r="C61" s="18">
        <v>42477.715460526313</v>
      </c>
      <c r="D61" s="18">
        <v>4715.824013157895</v>
      </c>
    </row>
    <row r="62" spans="1:18" hidden="1">
      <c r="A62" s="4">
        <v>5</v>
      </c>
      <c r="B62" s="18">
        <v>42477.835526315794</v>
      </c>
      <c r="C62" s="18">
        <v>53383.0509868421</v>
      </c>
      <c r="D62" s="18">
        <v>4592.0361842105267</v>
      </c>
    </row>
    <row r="63" spans="1:18" hidden="1">
      <c r="A63" s="4">
        <v>6</v>
      </c>
      <c r="B63" s="18">
        <v>53383.17105263158</v>
      </c>
      <c r="C63" s="18">
        <v>56637.194078947374</v>
      </c>
      <c r="D63" s="18">
        <v>4253.0904605263158</v>
      </c>
    </row>
    <row r="64" spans="1:18" hidden="1">
      <c r="A64" s="4">
        <v>7</v>
      </c>
      <c r="B64" s="18">
        <v>56637.31414473684</v>
      </c>
      <c r="C64" s="18">
        <v>64060.141447368427</v>
      </c>
      <c r="D64" s="18">
        <v>3900.5773026315792</v>
      </c>
    </row>
    <row r="65" spans="1:5" hidden="1">
      <c r="A65" s="4">
        <v>8</v>
      </c>
      <c r="B65" s="18">
        <v>64060.261513157893</v>
      </c>
      <c r="C65" s="18">
        <v>74736.991776315801</v>
      </c>
      <c r="D65" s="18">
        <v>3537.4983552631579</v>
      </c>
    </row>
    <row r="66" spans="1:5" hidden="1">
      <c r="A66" s="4">
        <v>9</v>
      </c>
      <c r="B66" s="18">
        <v>74737.111842105267</v>
      </c>
      <c r="C66" s="18">
        <v>85413.601973684214</v>
      </c>
      <c r="D66" s="18">
        <v>3044.1480263157891</v>
      </c>
    </row>
    <row r="67" spans="1:5" hidden="1">
      <c r="A67" s="4">
        <v>10</v>
      </c>
      <c r="B67" s="18">
        <v>85413.72203947368</v>
      </c>
      <c r="C67" s="18">
        <v>88636.52796052632</v>
      </c>
      <c r="D67" s="18">
        <v>2612.7516447368425</v>
      </c>
    </row>
    <row r="68" spans="1:5" hidden="1">
      <c r="A68" s="4">
        <v>11</v>
      </c>
      <c r="B68" s="18">
        <v>88636.648026315801</v>
      </c>
      <c r="C68" s="18" t="s">
        <v>9</v>
      </c>
      <c r="D68" s="18">
        <v>0</v>
      </c>
    </row>
    <row r="69" spans="1:5">
      <c r="A69" s="1" t="s">
        <v>144</v>
      </c>
    </row>
    <row r="70" spans="1:5">
      <c r="A70" s="1" t="s">
        <v>165</v>
      </c>
    </row>
    <row r="72" spans="1:5">
      <c r="A72" s="1" t="s">
        <v>171</v>
      </c>
      <c r="B72" s="1" t="s">
        <v>175</v>
      </c>
      <c r="E72" s="1" t="s">
        <v>171</v>
      </c>
    </row>
    <row r="73" spans="1:5">
      <c r="A73" s="1" t="s">
        <v>172</v>
      </c>
      <c r="E73" s="179" t="s">
        <v>178</v>
      </c>
    </row>
    <row r="74" spans="1:5">
      <c r="A74" s="1" t="s">
        <v>173</v>
      </c>
      <c r="E74" s="179" t="s">
        <v>58</v>
      </c>
    </row>
    <row r="75" spans="1:5">
      <c r="A75" s="1" t="s">
        <v>174</v>
      </c>
    </row>
  </sheetData>
  <sheetProtection algorithmName="SHA-512" hashValue="lP+mveFrPuAnPNL1WQlQ2SY2b3fP7ilTAnuNKDGfd+jCmZMWuD6wpmoWOzJKaZUh2uacpmzH14M4MG5ae9BoAw==" saltValue="5kFdjHJJxW8F9X+9CT4bzg==" spinCount="100000" sheet="1" objects="1" scenarios="1"/>
  <customSheetViews>
    <customSheetView guid="{B421B96C-BE4E-4B6F-9142-FF1AE2A373A8}" scale="90" showGridLines="0" fitToPage="1" hiddenColumns="1" topLeftCell="G1">
      <selection activeCell="I13" sqref="I13"/>
      <pageMargins left="0.51181102362204722" right="0.51181102362204722" top="0.51181102362204722" bottom="0.55118110236220474" header="0.51181102362204722" footer="0.51181102362204722"/>
      <printOptions horizontalCentered="1" verticalCentered="1"/>
      <pageSetup scale="38" orientation="portrait" r:id="rId1"/>
      <headerFooter alignWithMargins="0"/>
    </customSheetView>
  </customSheetViews>
  <phoneticPr fontId="4" type="noConversion"/>
  <printOptions horizontalCentered="1" verticalCentered="1" gridLinesSet="0"/>
  <pageMargins left="0.51181102362204722" right="0.51181102362204722" top="0.51181102362204722" bottom="0.55118110236220474" header="0.51181102362204722" footer="0.51181102362204722"/>
  <pageSetup scale="38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F5F8-2F76-4286-B052-BBD96F47770E}">
  <dimension ref="A3:I11"/>
  <sheetViews>
    <sheetView topLeftCell="A4" workbookViewId="0">
      <selection activeCell="G35" sqref="G35"/>
    </sheetView>
  </sheetViews>
  <sheetFormatPr baseColWidth="10" defaultColWidth="10.7109375" defaultRowHeight="16"/>
  <cols>
    <col min="2" max="2" width="25.5703125" bestFit="1" customWidth="1"/>
    <col min="6" max="6" width="19" customWidth="1"/>
  </cols>
  <sheetData>
    <row r="3" spans="1:9">
      <c r="B3" t="s">
        <v>25</v>
      </c>
      <c r="C3">
        <v>176.72</v>
      </c>
      <c r="D3" s="5" t="s">
        <v>23</v>
      </c>
    </row>
    <row r="4" spans="1:9">
      <c r="B4" t="s">
        <v>26</v>
      </c>
      <c r="C4">
        <v>102.68</v>
      </c>
      <c r="D4" s="5" t="s">
        <v>24</v>
      </c>
    </row>
    <row r="7" spans="1:9" ht="43" customHeight="1">
      <c r="B7" s="207" t="s">
        <v>31</v>
      </c>
      <c r="C7" s="207"/>
      <c r="D7" s="207"/>
      <c r="E7" s="207"/>
      <c r="F7" s="207"/>
      <c r="G7" s="207"/>
      <c r="H7" s="207"/>
      <c r="I7" s="207"/>
    </row>
    <row r="8" spans="1:9" ht="43" customHeight="1">
      <c r="B8" s="8"/>
      <c r="C8" s="8"/>
      <c r="D8" s="8"/>
      <c r="E8" s="8"/>
      <c r="F8" s="8"/>
      <c r="G8" s="8"/>
      <c r="H8" s="8"/>
      <c r="I8" s="8"/>
    </row>
    <row r="9" spans="1:9" ht="28" customHeight="1">
      <c r="A9" s="11" t="s">
        <v>36</v>
      </c>
      <c r="B9" s="9" t="s">
        <v>38</v>
      </c>
      <c r="C9" s="208" t="s">
        <v>32</v>
      </c>
      <c r="D9" s="209"/>
      <c r="E9" s="210"/>
      <c r="F9" t="s">
        <v>33</v>
      </c>
      <c r="G9" t="s">
        <v>41</v>
      </c>
    </row>
    <row r="10" spans="1:9" ht="45" customHeight="1">
      <c r="A10" s="11" t="s">
        <v>37</v>
      </c>
      <c r="B10" s="10" t="s">
        <v>39</v>
      </c>
      <c r="C10" s="211" t="s">
        <v>34</v>
      </c>
      <c r="D10" s="212"/>
      <c r="E10" s="213"/>
      <c r="F10" s="7">
        <v>42736</v>
      </c>
    </row>
    <row r="11" spans="1:9" ht="48" customHeight="1">
      <c r="A11" s="11" t="s">
        <v>36</v>
      </c>
      <c r="B11" s="10" t="s">
        <v>40</v>
      </c>
      <c r="C11" s="214" t="s">
        <v>35</v>
      </c>
      <c r="D11" s="215"/>
      <c r="E11" s="216"/>
      <c r="F11" s="7">
        <v>42736</v>
      </c>
    </row>
  </sheetData>
  <mergeCells count="4">
    <mergeCell ref="B7:I7"/>
    <mergeCell ref="C9:E9"/>
    <mergeCell ref="C10:E10"/>
    <mergeCell ref="C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29</vt:i4>
      </vt:variant>
    </vt:vector>
  </HeadingPairs>
  <TitlesOfParts>
    <vt:vector size="38" baseType="lpstr">
      <vt:lpstr>GraficarPuntos</vt:lpstr>
      <vt:lpstr>Introducción</vt:lpstr>
      <vt:lpstr>Cédula ISR Semana 5</vt:lpstr>
      <vt:lpstr>Cédula ISR Semana 4</vt:lpstr>
      <vt:lpstr>Cédula ISR Quincena</vt:lpstr>
      <vt:lpstr>Cálculo semanal detallado anual</vt:lpstr>
      <vt:lpstr>Anual</vt:lpstr>
      <vt:lpstr>TARIFAS</vt:lpstr>
      <vt:lpstr>Parametros</vt:lpstr>
      <vt:lpstr>Anual</vt:lpstr>
      <vt:lpstr>'Cédula ISR Quincena'!DiasCalculo</vt:lpstr>
      <vt:lpstr>'Cédula ISR Semana 4'!DiasCalculo</vt:lpstr>
      <vt:lpstr>'Cédula ISR Semana 5'!DiasCalculo</vt:lpstr>
      <vt:lpstr>DiasPagados</vt:lpstr>
      <vt:lpstr>EleccionT</vt:lpstr>
      <vt:lpstr>IngresoGravable</vt:lpstr>
      <vt:lpstr>ISRDirecto</vt:lpstr>
      <vt:lpstr>ISRDirectoMes</vt:lpstr>
      <vt:lpstr>ISRRetener</vt:lpstr>
      <vt:lpstr>ISRRetenerMes</vt:lpstr>
      <vt:lpstr>ListaOp</vt:lpstr>
      <vt:lpstr>ListaOP2</vt:lpstr>
      <vt:lpstr>MesPago</vt:lpstr>
      <vt:lpstr>OPCIONES</vt:lpstr>
      <vt:lpstr>SalarioMinimo</vt:lpstr>
      <vt:lpstr>SubAnual</vt:lpstr>
      <vt:lpstr>SubMes</vt:lpstr>
      <vt:lpstr>SubPer</vt:lpstr>
      <vt:lpstr>SubQ</vt:lpstr>
      <vt:lpstr>SubsidioCausado</vt:lpstr>
      <vt:lpstr>SubsidioCausadoDef</vt:lpstr>
      <vt:lpstr>SubsidioCausadoMes</vt:lpstr>
      <vt:lpstr>SubsidioEntregar</vt:lpstr>
      <vt:lpstr>SubsidioEntregarDef</vt:lpstr>
      <vt:lpstr>SubsidioEntregarMes</vt:lpstr>
      <vt:lpstr>TablaMes</vt:lpstr>
      <vt:lpstr>TablaPer</vt:lpstr>
      <vt:lpstr>TablaQ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ANALISIS DE CREDITO AL SALARIO ANUAL</dc:title>
  <dc:creator>BENITO BARRAGAN RANGEL</dc:creator>
  <cp:lastModifiedBy>Jorge Enrique Benitez Barba</cp:lastModifiedBy>
  <cp:lastPrinted>2020-01-02T19:15:15Z</cp:lastPrinted>
  <dcterms:created xsi:type="dcterms:W3CDTF">1998-02-06T01:30:41Z</dcterms:created>
  <dcterms:modified xsi:type="dcterms:W3CDTF">2023-03-09T23:53:46Z</dcterms:modified>
</cp:coreProperties>
</file>